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Latitude 5430\Desktop\idealabcti\projects\vfx\"/>
    </mc:Choice>
  </mc:AlternateContent>
  <xr:revisionPtr revIDLastSave="0" documentId="13_ncr:1_{1D5FB048-AD1F-4F82-80E7-4967946CBC74}" xr6:coauthVersionLast="47" xr6:coauthVersionMax="47" xr10:uidLastSave="{00000000-0000-0000-0000-000000000000}"/>
  <bookViews>
    <workbookView xWindow="-110" yWindow="-110" windowWidth="19420" windowHeight="10300" firstSheet="2" activeTab="5" xr2:uid="{8B5C3D3C-F1AC-4809-A7DF-C7484D04711A}"/>
  </bookViews>
  <sheets>
    <sheet name="TH" sheetId="6" r:id="rId1"/>
    <sheet name="Báo cáo lợi nhuận" sheetId="2" r:id="rId2"/>
    <sheet name="DT-GV" sheetId="1" r:id="rId3"/>
    <sheet name="Dự thu chiết khấu" sheetId="3" r:id="rId4"/>
    <sheet name="Lương năng suất" sheetId="4" r:id="rId5"/>
    <sheet name="CSBH thưởng xe" sheetId="5" r:id="rId6"/>
  </sheets>
  <externalReferences>
    <externalReference r:id="rId7"/>
    <externalReference r:id="rId8"/>
  </externalReferences>
  <definedNames>
    <definedName name="_xlnm._FilterDatabase" localSheetId="1" hidden="1">'Báo cáo lợi nhuận'!$A$6:$AF$207</definedName>
    <definedName name="_xlnm._FilterDatabase" localSheetId="2" hidden="1">'DT-GV'!$A$5:$AA$213</definedName>
    <definedName name="_xlnm._FilterDatabase" localSheetId="3" hidden="1">'Dự thu chiết khấu'!$A$3:$BJ$204</definedName>
    <definedName name="_xlnm._FilterDatabase" localSheetId="4" hidden="1">'Lương năng suất'!$A$3:$AW$203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8" i="4" l="1"/>
  <c r="AO10" i="4"/>
  <c r="AP8" i="4"/>
  <c r="AQ8" i="4"/>
  <c r="AD8" i="4"/>
  <c r="Z7" i="1"/>
  <c r="Z8" i="1"/>
  <c r="Z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49" i="1"/>
  <c r="Z50" i="1"/>
  <c r="Z51" i="1"/>
  <c r="Z52" i="1"/>
  <c r="Z53" i="1"/>
  <c r="Z54" i="1"/>
  <c r="Z55" i="1"/>
  <c r="Z56" i="1"/>
  <c r="Z57" i="1"/>
  <c r="Z58" i="1"/>
  <c r="Z59" i="1"/>
  <c r="Z60" i="1"/>
  <c r="Z61" i="1"/>
  <c r="Z62" i="1"/>
  <c r="Z63" i="1"/>
  <c r="Z64" i="1"/>
  <c r="Z65" i="1"/>
  <c r="Z66" i="1"/>
  <c r="Z67" i="1"/>
  <c r="Z68" i="1"/>
  <c r="Z69" i="1"/>
  <c r="Z70" i="1"/>
  <c r="Z71" i="1"/>
  <c r="Z72" i="1"/>
  <c r="Z73" i="1"/>
  <c r="Z74" i="1"/>
  <c r="Z75" i="1"/>
  <c r="Z76" i="1"/>
  <c r="Z77" i="1"/>
  <c r="Z78" i="1"/>
  <c r="Z79" i="1"/>
  <c r="Z80" i="1"/>
  <c r="Z81" i="1"/>
  <c r="Z82" i="1"/>
  <c r="Z83" i="1"/>
  <c r="Z84" i="1"/>
  <c r="Z85" i="1"/>
  <c r="Z86" i="1"/>
  <c r="Z87" i="1"/>
  <c r="Z88" i="1"/>
  <c r="Z89" i="1"/>
  <c r="Z90" i="1"/>
  <c r="Z91" i="1"/>
  <c r="Z92" i="1"/>
  <c r="Z93" i="1"/>
  <c r="Z94" i="1"/>
  <c r="Z95" i="1"/>
  <c r="Z96" i="1"/>
  <c r="Z97" i="1"/>
  <c r="Z98" i="1"/>
  <c r="Z99" i="1"/>
  <c r="Z100" i="1"/>
  <c r="Z101" i="1"/>
  <c r="Z102" i="1"/>
  <c r="Z103" i="1"/>
  <c r="Z104" i="1"/>
  <c r="Z105" i="1"/>
  <c r="Z106" i="1"/>
  <c r="Z107" i="1"/>
  <c r="Z108" i="1"/>
  <c r="Z109" i="1"/>
  <c r="Z110" i="1"/>
  <c r="Z111" i="1"/>
  <c r="Z112" i="1"/>
  <c r="Z113" i="1"/>
  <c r="Z114" i="1"/>
  <c r="Z115" i="1"/>
  <c r="Z116" i="1"/>
  <c r="Z117" i="1"/>
  <c r="Z118" i="1"/>
  <c r="Z119" i="1"/>
  <c r="Z120" i="1"/>
  <c r="Z121" i="1"/>
  <c r="Z122" i="1"/>
  <c r="Z123" i="1"/>
  <c r="Z124" i="1"/>
  <c r="Z125" i="1"/>
  <c r="Z126" i="1"/>
  <c r="Z127" i="1"/>
  <c r="Z128" i="1"/>
  <c r="Z129" i="1"/>
  <c r="Z130" i="1"/>
  <c r="Z131" i="1"/>
  <c r="Z132" i="1"/>
  <c r="Z133" i="1"/>
  <c r="Z134" i="1"/>
  <c r="Z135" i="1"/>
  <c r="Z136" i="1"/>
  <c r="Z137" i="1"/>
  <c r="Z138" i="1"/>
  <c r="Z139" i="1"/>
  <c r="Z140" i="1"/>
  <c r="Z141" i="1"/>
  <c r="Z142" i="1"/>
  <c r="Z143" i="1"/>
  <c r="Z144" i="1"/>
  <c r="Z145" i="1"/>
  <c r="Z146" i="1"/>
  <c r="Z147" i="1"/>
  <c r="Z148" i="1"/>
  <c r="Z149" i="1"/>
  <c r="Z150" i="1"/>
  <c r="Z151" i="1"/>
  <c r="Z152" i="1"/>
  <c r="Z153" i="1"/>
  <c r="Z154" i="1"/>
  <c r="Z155" i="1"/>
  <c r="Z156" i="1"/>
  <c r="Z157" i="1"/>
  <c r="Z158" i="1"/>
  <c r="Z159" i="1"/>
  <c r="Z160" i="1"/>
  <c r="Z161" i="1"/>
  <c r="Z162" i="1"/>
  <c r="Z163" i="1"/>
  <c r="Z164" i="1"/>
  <c r="Z165" i="1"/>
  <c r="Z166" i="1"/>
  <c r="Z167" i="1"/>
  <c r="Z168" i="1"/>
  <c r="Z169" i="1"/>
  <c r="Z170" i="1"/>
  <c r="Z171" i="1"/>
  <c r="Z172" i="1"/>
  <c r="Z173" i="1"/>
  <c r="Z174" i="1"/>
  <c r="Z175" i="1"/>
  <c r="Z176" i="1"/>
  <c r="Z177" i="1"/>
  <c r="Z178" i="1"/>
  <c r="Z179" i="1"/>
  <c r="Z180" i="1"/>
  <c r="Z181" i="1"/>
  <c r="Z182" i="1"/>
  <c r="Z183" i="1"/>
  <c r="Z184" i="1"/>
  <c r="Z185" i="1"/>
  <c r="Z186" i="1"/>
  <c r="Z187" i="1"/>
  <c r="Z188" i="1"/>
  <c r="Z189" i="1"/>
  <c r="Z190" i="1"/>
  <c r="Z191" i="1"/>
  <c r="Z192" i="1"/>
  <c r="Z193" i="1"/>
  <c r="Z194" i="1"/>
  <c r="Z195" i="1"/>
  <c r="Z196" i="1"/>
  <c r="Z197" i="1"/>
  <c r="Z198" i="1"/>
  <c r="Z199" i="1"/>
  <c r="Z200" i="1"/>
  <c r="Z201" i="1"/>
  <c r="Z202" i="1"/>
  <c r="Z203" i="1"/>
  <c r="Z204" i="1"/>
  <c r="Z205" i="1"/>
  <c r="Z206" i="1"/>
  <c r="Z207" i="1"/>
  <c r="Z208" i="1"/>
  <c r="Z209" i="1"/>
  <c r="Z210" i="1"/>
  <c r="Z211" i="1"/>
  <c r="Z212" i="1"/>
  <c r="Z213" i="1"/>
  <c r="Z6" i="1"/>
  <c r="H212" i="1" a="1"/>
  <c r="H212" i="1" s="1"/>
  <c r="AA212" i="1" s="1"/>
  <c r="H213" i="1" a="1"/>
  <c r="H213" i="1" s="1"/>
  <c r="AA213" i="1" s="1"/>
  <c r="I9" i="6"/>
  <c r="I8" i="6"/>
  <c r="I7" i="6"/>
  <c r="I6" i="6"/>
  <c r="I5" i="6"/>
  <c r="I4" i="6"/>
  <c r="I5" i="2"/>
  <c r="E207" i="2"/>
  <c r="B207" i="2" s="1"/>
  <c r="H218" i="1" a="1"/>
  <c r="H218" i="1" s="1"/>
  <c r="H6" i="1" a="1"/>
  <c r="H6" i="1" s="1"/>
  <c r="H7" i="1" a="1"/>
  <c r="H7" i="1" s="1"/>
  <c r="AA7" i="1" s="1"/>
  <c r="H8" i="1" a="1"/>
  <c r="H8" i="1" s="1"/>
  <c r="AA8" i="1" s="1"/>
  <c r="H9" i="1" a="1"/>
  <c r="H9" i="1" s="1"/>
  <c r="H10" i="1" a="1"/>
  <c r="H10" i="1" s="1"/>
  <c r="AA10" i="1" s="1"/>
  <c r="H11" i="1" a="1"/>
  <c r="H11" i="1" s="1"/>
  <c r="H12" i="1" a="1"/>
  <c r="H12" i="1" s="1"/>
  <c r="H13" i="1" a="1"/>
  <c r="H13" i="1" s="1"/>
  <c r="AA13" i="1" s="1"/>
  <c r="H14" i="1" a="1"/>
  <c r="H14" i="1" s="1"/>
  <c r="AA14" i="1" s="1"/>
  <c r="H15" i="1" a="1"/>
  <c r="H15" i="1" s="1"/>
  <c r="AA15" i="1" s="1"/>
  <c r="H16" i="1" a="1"/>
  <c r="H16" i="1" s="1"/>
  <c r="AA16" i="1" s="1"/>
  <c r="H17" i="1" a="1"/>
  <c r="H17" i="1" s="1"/>
  <c r="AA17" i="1" s="1"/>
  <c r="H18" i="1" a="1"/>
  <c r="H18" i="1" s="1"/>
  <c r="AA18" i="1" s="1"/>
  <c r="H19" i="1" a="1"/>
  <c r="H19" i="1" s="1"/>
  <c r="AA19" i="1" s="1"/>
  <c r="H20" i="1" a="1"/>
  <c r="H20" i="1" s="1"/>
  <c r="AA20" i="1" s="1"/>
  <c r="H21" i="1" a="1"/>
  <c r="H21" i="1" s="1"/>
  <c r="AA21" i="1" s="1"/>
  <c r="H22" i="1" a="1"/>
  <c r="H22" i="1" s="1"/>
  <c r="AA22" i="1" s="1"/>
  <c r="H23" i="1" a="1"/>
  <c r="H23" i="1" s="1"/>
  <c r="AA23" i="1" s="1"/>
  <c r="H24" i="1" a="1"/>
  <c r="H24" i="1" s="1"/>
  <c r="AA24" i="1" s="1"/>
  <c r="H25" i="1" a="1"/>
  <c r="H25" i="1" s="1"/>
  <c r="H26" i="1" a="1"/>
  <c r="H26" i="1" s="1"/>
  <c r="AA26" i="1" s="1"/>
  <c r="H27" i="1" a="1"/>
  <c r="H27" i="1" s="1"/>
  <c r="AA27" i="1" s="1"/>
  <c r="H28" i="1" a="1"/>
  <c r="H28" i="1" s="1"/>
  <c r="H29" i="1" a="1"/>
  <c r="H29" i="1" s="1"/>
  <c r="AA29" i="1" s="1"/>
  <c r="H30" i="1" a="1"/>
  <c r="H30" i="1" s="1"/>
  <c r="AA30" i="1" s="1"/>
  <c r="H31" i="1" a="1"/>
  <c r="H31" i="1" s="1"/>
  <c r="AA31" i="1" s="1"/>
  <c r="H32" i="1" a="1"/>
  <c r="H32" i="1" s="1"/>
  <c r="AA32" i="1" s="1"/>
  <c r="H33" i="1" a="1"/>
  <c r="H33" i="1" s="1"/>
  <c r="AA33" i="1" s="1"/>
  <c r="H34" i="1" a="1"/>
  <c r="H34" i="1" s="1"/>
  <c r="AA34" i="1" s="1"/>
  <c r="H35" i="1" a="1"/>
  <c r="H35" i="1" s="1"/>
  <c r="AA35" i="1" s="1"/>
  <c r="H36" i="1" a="1"/>
  <c r="H36" i="1" s="1"/>
  <c r="AA36" i="1" s="1"/>
  <c r="H37" i="1" a="1"/>
  <c r="H37" i="1" s="1"/>
  <c r="AA37" i="1" s="1"/>
  <c r="H38" i="1" a="1"/>
  <c r="H38" i="1" s="1"/>
  <c r="H39" i="1" a="1"/>
  <c r="H39" i="1" s="1"/>
  <c r="AA39" i="1" s="1"/>
  <c r="H40" i="1" a="1"/>
  <c r="H40" i="1" s="1"/>
  <c r="AA40" i="1" s="1"/>
  <c r="H41" i="1" a="1"/>
  <c r="H41" i="1" s="1"/>
  <c r="H42" i="1" a="1"/>
  <c r="H42" i="1" s="1"/>
  <c r="AA42" i="1" s="1"/>
  <c r="H43" i="1" a="1"/>
  <c r="H43" i="1" s="1"/>
  <c r="AA43" i="1" s="1"/>
  <c r="H44" i="1" a="1"/>
  <c r="H44" i="1" s="1"/>
  <c r="H45" i="1" a="1"/>
  <c r="H45" i="1" s="1"/>
  <c r="AA45" i="1" s="1"/>
  <c r="H46" i="1" a="1"/>
  <c r="H46" i="1" s="1"/>
  <c r="AA46" i="1" s="1"/>
  <c r="H47" i="1" a="1"/>
  <c r="H47" i="1" s="1"/>
  <c r="AA47" i="1" s="1"/>
  <c r="H48" i="1" a="1"/>
  <c r="H48" i="1" s="1"/>
  <c r="AA48" i="1" s="1"/>
  <c r="H49" i="1" a="1"/>
  <c r="H49" i="1" s="1"/>
  <c r="AA49" i="1" s="1"/>
  <c r="H50" i="1" a="1"/>
  <c r="H50" i="1" s="1"/>
  <c r="AA50" i="1" s="1"/>
  <c r="H51" i="1" a="1"/>
  <c r="H51" i="1" s="1"/>
  <c r="AA51" i="1" s="1"/>
  <c r="H52" i="1" a="1"/>
  <c r="H52" i="1" s="1"/>
  <c r="AA52" i="1" s="1"/>
  <c r="H53" i="1" a="1"/>
  <c r="H53" i="1" s="1"/>
  <c r="AA53" i="1" s="1"/>
  <c r="H54" i="1" a="1"/>
  <c r="H54" i="1" s="1"/>
  <c r="H55" i="1" a="1"/>
  <c r="H55" i="1" s="1"/>
  <c r="AA55" i="1" s="1"/>
  <c r="H56" i="1" a="1"/>
  <c r="H56" i="1" s="1"/>
  <c r="AA56" i="1" s="1"/>
  <c r="H57" i="1" a="1"/>
  <c r="H57" i="1" s="1"/>
  <c r="H58" i="1" a="1"/>
  <c r="H58" i="1" s="1"/>
  <c r="AA58" i="1" s="1"/>
  <c r="H59" i="1" a="1"/>
  <c r="H59" i="1" s="1"/>
  <c r="AA59" i="1" s="1"/>
  <c r="H60" i="1" a="1"/>
  <c r="H60" i="1" s="1"/>
  <c r="H61" i="1" a="1"/>
  <c r="H61" i="1" s="1"/>
  <c r="AA61" i="1" s="1"/>
  <c r="H62" i="1" a="1"/>
  <c r="H62" i="1" s="1"/>
  <c r="AA62" i="1" s="1"/>
  <c r="H63" i="1" a="1"/>
  <c r="H63" i="1" s="1"/>
  <c r="AA63" i="1" s="1"/>
  <c r="H64" i="1" a="1"/>
  <c r="H64" i="1" s="1"/>
  <c r="AA64" i="1" s="1"/>
  <c r="H65" i="1" a="1"/>
  <c r="H65" i="1" s="1"/>
  <c r="AA65" i="1" s="1"/>
  <c r="H66" i="1" a="1"/>
  <c r="H66" i="1" s="1"/>
  <c r="AA66" i="1" s="1"/>
  <c r="H67" i="1" a="1"/>
  <c r="H67" i="1" s="1"/>
  <c r="AA67" i="1" s="1"/>
  <c r="H68" i="1" a="1"/>
  <c r="H68" i="1" s="1"/>
  <c r="AA68" i="1" s="1"/>
  <c r="H69" i="1" a="1"/>
  <c r="H69" i="1" s="1"/>
  <c r="AA69" i="1" s="1"/>
  <c r="H70" i="1" a="1"/>
  <c r="H70" i="1" s="1"/>
  <c r="AA70" i="1" s="1"/>
  <c r="H71" i="1" a="1"/>
  <c r="H71" i="1" s="1"/>
  <c r="AA71" i="1" s="1"/>
  <c r="H72" i="1" a="1"/>
  <c r="H72" i="1" s="1"/>
  <c r="AA72" i="1" s="1"/>
  <c r="H73" i="1" a="1"/>
  <c r="H73" i="1" s="1"/>
  <c r="H74" i="1" a="1"/>
  <c r="H74" i="1" s="1"/>
  <c r="AA74" i="1" s="1"/>
  <c r="H75" i="1" a="1"/>
  <c r="H75" i="1" s="1"/>
  <c r="AA75" i="1" s="1"/>
  <c r="H76" i="1" a="1"/>
  <c r="H76" i="1" s="1"/>
  <c r="H77" i="1" a="1"/>
  <c r="H77" i="1" s="1"/>
  <c r="AA77" i="1" s="1"/>
  <c r="H78" i="1" a="1"/>
  <c r="H78" i="1" s="1"/>
  <c r="AA78" i="1" s="1"/>
  <c r="H79" i="1" a="1"/>
  <c r="H79" i="1" s="1"/>
  <c r="AA79" i="1" s="1"/>
  <c r="H80" i="1" a="1"/>
  <c r="H80" i="1" s="1"/>
  <c r="H81" i="1" a="1"/>
  <c r="H81" i="1" s="1"/>
  <c r="AA81" i="1" s="1"/>
  <c r="H82" i="1" a="1"/>
  <c r="H82" i="1" s="1"/>
  <c r="AA82" i="1" s="1"/>
  <c r="H83" i="1" a="1"/>
  <c r="H83" i="1" s="1"/>
  <c r="AA83" i="1" s="1"/>
  <c r="H84" i="1" a="1"/>
  <c r="H84" i="1" s="1"/>
  <c r="AA84" i="1" s="1"/>
  <c r="H85" i="1" a="1"/>
  <c r="H85" i="1" s="1"/>
  <c r="AA85" i="1" s="1"/>
  <c r="H86" i="1" a="1"/>
  <c r="H86" i="1" s="1"/>
  <c r="AA86" i="1" s="1"/>
  <c r="H87" i="1" a="1"/>
  <c r="H87" i="1" s="1"/>
  <c r="AA87" i="1" s="1"/>
  <c r="H88" i="1" a="1"/>
  <c r="H88" i="1" s="1"/>
  <c r="AA88" i="1" s="1"/>
  <c r="H89" i="1" a="1"/>
  <c r="H89" i="1" s="1"/>
  <c r="H90" i="1" a="1"/>
  <c r="H90" i="1" s="1"/>
  <c r="AA90" i="1" s="1"/>
  <c r="H91" i="1" a="1"/>
  <c r="H91" i="1" s="1"/>
  <c r="AA91" i="1" s="1"/>
  <c r="H92" i="1" a="1"/>
  <c r="H92" i="1" s="1"/>
  <c r="H93" i="1" a="1"/>
  <c r="H93" i="1" s="1"/>
  <c r="AA93" i="1" s="1"/>
  <c r="H94" i="1" a="1"/>
  <c r="H94" i="1" s="1"/>
  <c r="AA94" i="1" s="1"/>
  <c r="H95" i="1" a="1"/>
  <c r="H95" i="1" s="1"/>
  <c r="AA95" i="1" s="1"/>
  <c r="H96" i="1" a="1"/>
  <c r="H96" i="1" s="1"/>
  <c r="AA96" i="1" s="1"/>
  <c r="H97" i="1" a="1"/>
  <c r="H97" i="1" s="1"/>
  <c r="AA97" i="1" s="1"/>
  <c r="H98" i="1" a="1"/>
  <c r="H98" i="1" s="1"/>
  <c r="AA98" i="1" s="1"/>
  <c r="H99" i="1" a="1"/>
  <c r="H99" i="1" s="1"/>
  <c r="AA99" i="1" s="1"/>
  <c r="H100" i="1" a="1"/>
  <c r="H100" i="1" s="1"/>
  <c r="AA100" i="1" s="1"/>
  <c r="H101" i="1" a="1"/>
  <c r="H101" i="1" s="1"/>
  <c r="AA101" i="1" s="1"/>
  <c r="H102" i="1" a="1"/>
  <c r="H102" i="1" s="1"/>
  <c r="AA102" i="1" s="1"/>
  <c r="H103" i="1" a="1"/>
  <c r="H103" i="1" s="1"/>
  <c r="AA103" i="1" s="1"/>
  <c r="H104" i="1" a="1"/>
  <c r="H104" i="1" s="1"/>
  <c r="AA104" i="1" s="1"/>
  <c r="H105" i="1" a="1"/>
  <c r="H105" i="1" s="1"/>
  <c r="H106" i="1" a="1"/>
  <c r="H106" i="1" s="1"/>
  <c r="AA106" i="1" s="1"/>
  <c r="H107" i="1" a="1"/>
  <c r="H107" i="1" s="1"/>
  <c r="AA107" i="1" s="1"/>
  <c r="H108" i="1" a="1"/>
  <c r="H108" i="1" s="1"/>
  <c r="H109" i="1" a="1"/>
  <c r="H109" i="1" s="1"/>
  <c r="AA109" i="1" s="1"/>
  <c r="H110" i="1" a="1"/>
  <c r="H110" i="1" s="1"/>
  <c r="H111" i="1" a="1"/>
  <c r="H111" i="1" s="1"/>
  <c r="AA111" i="1" s="1"/>
  <c r="H112" i="1" a="1"/>
  <c r="H112" i="1" s="1"/>
  <c r="AA112" i="1" s="1"/>
  <c r="H113" i="1" a="1"/>
  <c r="H113" i="1" s="1"/>
  <c r="AA113" i="1" s="1"/>
  <c r="H114" i="1" a="1"/>
  <c r="H114" i="1" s="1"/>
  <c r="AA114" i="1" s="1"/>
  <c r="H115" i="1" a="1"/>
  <c r="H115" i="1" s="1"/>
  <c r="AA115" i="1" s="1"/>
  <c r="H116" i="1" a="1"/>
  <c r="H116" i="1" s="1"/>
  <c r="AA116" i="1" s="1"/>
  <c r="H117" i="1" a="1"/>
  <c r="H117" i="1" s="1"/>
  <c r="AA117" i="1" s="1"/>
  <c r="H118" i="1" a="1"/>
  <c r="H118" i="1" s="1"/>
  <c r="AA118" i="1" s="1"/>
  <c r="H119" i="1" a="1"/>
  <c r="H119" i="1" s="1"/>
  <c r="AA119" i="1" s="1"/>
  <c r="H120" i="1" a="1"/>
  <c r="H120" i="1" s="1"/>
  <c r="AA120" i="1" s="1"/>
  <c r="H121" i="1" a="1"/>
  <c r="H121" i="1" s="1"/>
  <c r="H122" i="1" a="1"/>
  <c r="H122" i="1" s="1"/>
  <c r="AA122" i="1" s="1"/>
  <c r="H123" i="1" a="1"/>
  <c r="H123" i="1" s="1"/>
  <c r="AA123" i="1" s="1"/>
  <c r="H124" i="1" a="1"/>
  <c r="H124" i="1" s="1"/>
  <c r="H125" i="1" a="1"/>
  <c r="H125" i="1" s="1"/>
  <c r="AA125" i="1" s="1"/>
  <c r="H126" i="1" a="1"/>
  <c r="H126" i="1" s="1"/>
  <c r="AA126" i="1" s="1"/>
  <c r="H127" i="1" a="1"/>
  <c r="H127" i="1" s="1"/>
  <c r="H128" i="1" a="1"/>
  <c r="H128" i="1" s="1"/>
  <c r="AA128" i="1" s="1"/>
  <c r="H129" i="1" a="1"/>
  <c r="H129" i="1" s="1"/>
  <c r="AA129" i="1" s="1"/>
  <c r="H130" i="1" a="1"/>
  <c r="H130" i="1" s="1"/>
  <c r="AA130" i="1" s="1"/>
  <c r="H131" i="1" a="1"/>
  <c r="H131" i="1" s="1"/>
  <c r="H132" i="1" a="1"/>
  <c r="H132" i="1" s="1"/>
  <c r="H133" i="1" a="1"/>
  <c r="H133" i="1" s="1"/>
  <c r="H134" i="1" a="1"/>
  <c r="H134" i="1" s="1"/>
  <c r="AA134" i="1" s="1"/>
  <c r="H135" i="1" a="1"/>
  <c r="H135" i="1" s="1"/>
  <c r="AA135" i="1" s="1"/>
  <c r="H136" i="1" a="1"/>
  <c r="H136" i="1" s="1"/>
  <c r="AA136" i="1" s="1"/>
  <c r="H137" i="1" a="1"/>
  <c r="H137" i="1" s="1"/>
  <c r="H138" i="1" a="1"/>
  <c r="H138" i="1" s="1"/>
  <c r="AA138" i="1" s="1"/>
  <c r="H139" i="1" a="1"/>
  <c r="H139" i="1" s="1"/>
  <c r="AA139" i="1" s="1"/>
  <c r="H140" i="1" a="1"/>
  <c r="H140" i="1" s="1"/>
  <c r="H141" i="1" a="1"/>
  <c r="H141" i="1" s="1"/>
  <c r="AA141" i="1" s="1"/>
  <c r="H142" i="1" a="1"/>
  <c r="H142" i="1" s="1"/>
  <c r="AA142" i="1" s="1"/>
  <c r="H143" i="1" a="1"/>
  <c r="H143" i="1" s="1"/>
  <c r="AA143" i="1" s="1"/>
  <c r="H144" i="1" a="1"/>
  <c r="H144" i="1" s="1"/>
  <c r="AA144" i="1" s="1"/>
  <c r="H145" i="1" a="1"/>
  <c r="H145" i="1" s="1"/>
  <c r="AA145" i="1" s="1"/>
  <c r="H146" i="1" a="1"/>
  <c r="H146" i="1" s="1"/>
  <c r="AA146" i="1" s="1"/>
  <c r="H147" i="1" a="1"/>
  <c r="H147" i="1" s="1"/>
  <c r="AA147" i="1" s="1"/>
  <c r="H148" i="1" a="1"/>
  <c r="H148" i="1" s="1"/>
  <c r="AA148" i="1" s="1"/>
  <c r="H149" i="1" a="1"/>
  <c r="H149" i="1" s="1"/>
  <c r="AA149" i="1" s="1"/>
  <c r="H150" i="1" a="1"/>
  <c r="H150" i="1" s="1"/>
  <c r="AA150" i="1" s="1"/>
  <c r="H151" i="1" a="1"/>
  <c r="H151" i="1" s="1"/>
  <c r="AA151" i="1" s="1"/>
  <c r="H152" i="1" a="1"/>
  <c r="H152" i="1" s="1"/>
  <c r="AA152" i="1" s="1"/>
  <c r="H153" i="1" a="1"/>
  <c r="H153" i="1" s="1"/>
  <c r="H154" i="1" a="1"/>
  <c r="H154" i="1" s="1"/>
  <c r="AA154" i="1" s="1"/>
  <c r="H155" i="1" a="1"/>
  <c r="H155" i="1" s="1"/>
  <c r="AA155" i="1" s="1"/>
  <c r="H156" i="1" a="1"/>
  <c r="H156" i="1" s="1"/>
  <c r="H157" i="1" a="1"/>
  <c r="H157" i="1" s="1"/>
  <c r="AA157" i="1" s="1"/>
  <c r="H158" i="1" a="1"/>
  <c r="H158" i="1" s="1"/>
  <c r="AA158" i="1" s="1"/>
  <c r="H159" i="1" a="1"/>
  <c r="H159" i="1" s="1"/>
  <c r="AA159" i="1" s="1"/>
  <c r="H160" i="1" a="1"/>
  <c r="H160" i="1" s="1"/>
  <c r="AA160" i="1" s="1"/>
  <c r="H161" i="1" a="1"/>
  <c r="H161" i="1" s="1"/>
  <c r="AA161" i="1" s="1"/>
  <c r="H162" i="1" a="1"/>
  <c r="H162" i="1" s="1"/>
  <c r="AA162" i="1" s="1"/>
  <c r="H163" i="1" a="1"/>
  <c r="H163" i="1" s="1"/>
  <c r="AA163" i="1" s="1"/>
  <c r="H164" i="1" a="1"/>
  <c r="H164" i="1" s="1"/>
  <c r="AA164" i="1" s="1"/>
  <c r="H165" i="1" a="1"/>
  <c r="H165" i="1" s="1"/>
  <c r="AA165" i="1" s="1"/>
  <c r="H166" i="1" a="1"/>
  <c r="H166" i="1" s="1"/>
  <c r="AA166" i="1" s="1"/>
  <c r="H167" i="1" a="1"/>
  <c r="H167" i="1" s="1"/>
  <c r="AA167" i="1" s="1"/>
  <c r="H168" i="1" a="1"/>
  <c r="H168" i="1" s="1"/>
  <c r="AA168" i="1" s="1"/>
  <c r="H169" i="1" a="1"/>
  <c r="H169" i="1" s="1"/>
  <c r="H170" i="1" a="1"/>
  <c r="H170" i="1" s="1"/>
  <c r="AA170" i="1" s="1"/>
  <c r="H171" i="1" a="1"/>
  <c r="H171" i="1" s="1"/>
  <c r="AA171" i="1" s="1"/>
  <c r="H172" i="1" a="1"/>
  <c r="H172" i="1" s="1"/>
  <c r="H173" i="1" a="1"/>
  <c r="H173" i="1" s="1"/>
  <c r="AA173" i="1" s="1"/>
  <c r="H174" i="1" a="1"/>
  <c r="H174" i="1" s="1"/>
  <c r="AA174" i="1" s="1"/>
  <c r="H175" i="1" a="1"/>
  <c r="H175" i="1" s="1"/>
  <c r="AA175" i="1" s="1"/>
  <c r="H176" i="1" a="1"/>
  <c r="H176" i="1" s="1"/>
  <c r="AA176" i="1" s="1"/>
  <c r="H177" i="1" a="1"/>
  <c r="H177" i="1" s="1"/>
  <c r="AA177" i="1" s="1"/>
  <c r="H178" i="1" a="1"/>
  <c r="H178" i="1" s="1"/>
  <c r="AA178" i="1" s="1"/>
  <c r="H179" i="1" a="1"/>
  <c r="H179" i="1" s="1"/>
  <c r="AA179" i="1" s="1"/>
  <c r="H180" i="1" a="1"/>
  <c r="H180" i="1" s="1"/>
  <c r="H181" i="1" a="1"/>
  <c r="H181" i="1" s="1"/>
  <c r="AA181" i="1" s="1"/>
  <c r="H182" i="1" a="1"/>
  <c r="H182" i="1" s="1"/>
  <c r="AA182" i="1" s="1"/>
  <c r="H183" i="1" a="1"/>
  <c r="H183" i="1" s="1"/>
  <c r="AA183" i="1" s="1"/>
  <c r="H184" i="1" a="1"/>
  <c r="H184" i="1" s="1"/>
  <c r="AA184" i="1" s="1"/>
  <c r="H185" i="1" a="1"/>
  <c r="H185" i="1" s="1"/>
  <c r="H186" i="1" a="1"/>
  <c r="H186" i="1" s="1"/>
  <c r="AA186" i="1" s="1"/>
  <c r="H187" i="1" a="1"/>
  <c r="H187" i="1" s="1"/>
  <c r="AA187" i="1" s="1"/>
  <c r="H188" i="1" a="1"/>
  <c r="H188" i="1" s="1"/>
  <c r="H189" i="1" a="1"/>
  <c r="H189" i="1" s="1"/>
  <c r="AA189" i="1" s="1"/>
  <c r="H190" i="1" a="1"/>
  <c r="H190" i="1" s="1"/>
  <c r="AA190" i="1" s="1"/>
  <c r="H191" i="1" a="1"/>
  <c r="H191" i="1" s="1"/>
  <c r="AA191" i="1" s="1"/>
  <c r="H192" i="1" a="1"/>
  <c r="H192" i="1" s="1"/>
  <c r="AA192" i="1" s="1"/>
  <c r="H193" i="1" a="1"/>
  <c r="H193" i="1" s="1"/>
  <c r="AA193" i="1" s="1"/>
  <c r="H194" i="1" a="1"/>
  <c r="H194" i="1" s="1"/>
  <c r="AA194" i="1" s="1"/>
  <c r="H195" i="1" a="1"/>
  <c r="H195" i="1" s="1"/>
  <c r="AA195" i="1" s="1"/>
  <c r="H196" i="1" a="1"/>
  <c r="H196" i="1" s="1"/>
  <c r="AA196" i="1" s="1"/>
  <c r="H197" i="1" a="1"/>
  <c r="H197" i="1" s="1"/>
  <c r="AA197" i="1" s="1"/>
  <c r="H198" i="1" a="1"/>
  <c r="H198" i="1" s="1"/>
  <c r="AA198" i="1" s="1"/>
  <c r="H199" i="1" a="1"/>
  <c r="H199" i="1" s="1"/>
  <c r="AA199" i="1" s="1"/>
  <c r="H200" i="1" a="1"/>
  <c r="H200" i="1" s="1"/>
  <c r="AA200" i="1" s="1"/>
  <c r="H201" i="1" a="1"/>
  <c r="H201" i="1" s="1"/>
  <c r="H202" i="1" a="1"/>
  <c r="H202" i="1" s="1"/>
  <c r="AA202" i="1" s="1"/>
  <c r="H203" i="1" a="1"/>
  <c r="H203" i="1" s="1"/>
  <c r="AA203" i="1" s="1"/>
  <c r="H204" i="1" a="1"/>
  <c r="H204" i="1" s="1"/>
  <c r="H205" i="1" a="1"/>
  <c r="H205" i="1" s="1"/>
  <c r="AA205" i="1" s="1"/>
  <c r="H206" i="1" a="1"/>
  <c r="H206" i="1" s="1"/>
  <c r="AA206" i="1" s="1"/>
  <c r="H207" i="1" a="1"/>
  <c r="H207" i="1" s="1"/>
  <c r="AA207" i="1" s="1"/>
  <c r="H208" i="1" a="1"/>
  <c r="H208" i="1" s="1"/>
  <c r="AA208" i="1" s="1"/>
  <c r="H209" i="1" a="1"/>
  <c r="H209" i="1" s="1"/>
  <c r="AA209" i="1" s="1"/>
  <c r="H210" i="1" a="1"/>
  <c r="H210" i="1" s="1"/>
  <c r="AA210" i="1" s="1"/>
  <c r="H211" i="1" a="1"/>
  <c r="H211" i="1" s="1"/>
  <c r="AA211" i="1" s="1"/>
  <c r="BG208" i="4"/>
  <c r="BF208" i="4"/>
  <c r="BD208" i="4"/>
  <c r="BB208" i="4"/>
  <c r="AS208" i="4"/>
  <c r="AR208" i="4"/>
  <c r="AL208" i="4"/>
  <c r="AC208" i="4"/>
  <c r="AD208" i="4" s="1"/>
  <c r="AB208" i="4"/>
  <c r="D208" i="4"/>
  <c r="C208" i="4"/>
  <c r="B208" i="4"/>
  <c r="BG207" i="4"/>
  <c r="BF207" i="4"/>
  <c r="BD207" i="4"/>
  <c r="BB207" i="4"/>
  <c r="AS207" i="4"/>
  <c r="AR207" i="4"/>
  <c r="AL207" i="4"/>
  <c r="AC207" i="4"/>
  <c r="AD207" i="4" s="1"/>
  <c r="AB207" i="4"/>
  <c r="D207" i="4"/>
  <c r="C207" i="4"/>
  <c r="B207" i="4"/>
  <c r="BG206" i="4"/>
  <c r="BF206" i="4"/>
  <c r="BD206" i="4"/>
  <c r="BB206" i="4"/>
  <c r="AS206" i="4"/>
  <c r="AR206" i="4"/>
  <c r="AL206" i="4"/>
  <c r="AC206" i="4"/>
  <c r="AD206" i="4" s="1"/>
  <c r="AB206" i="4"/>
  <c r="D206" i="4"/>
  <c r="C206" i="4"/>
  <c r="B206" i="4"/>
  <c r="BG205" i="4"/>
  <c r="BF205" i="4"/>
  <c r="BD205" i="4"/>
  <c r="BB205" i="4"/>
  <c r="AS205" i="4"/>
  <c r="AR205" i="4"/>
  <c r="AL205" i="4"/>
  <c r="AC205" i="4"/>
  <c r="AD205" i="4" s="1"/>
  <c r="AB205" i="4"/>
  <c r="D205" i="4"/>
  <c r="C205" i="4"/>
  <c r="B205" i="4"/>
  <c r="BG204" i="4"/>
  <c r="BF204" i="4"/>
  <c r="BD204" i="4"/>
  <c r="BB204" i="4"/>
  <c r="AS204" i="4"/>
  <c r="AR204" i="4"/>
  <c r="AL204" i="4"/>
  <c r="AC204" i="4"/>
  <c r="AD204" i="4" s="1"/>
  <c r="AB204" i="4"/>
  <c r="D204" i="4"/>
  <c r="C204" i="4"/>
  <c r="B204" i="4"/>
  <c r="BG203" i="4"/>
  <c r="BF203" i="4"/>
  <c r="BD203" i="4"/>
  <c r="BB203" i="4"/>
  <c r="AS203" i="4"/>
  <c r="AR203" i="4"/>
  <c r="AL203" i="4"/>
  <c r="AC203" i="4"/>
  <c r="AD203" i="4" s="1"/>
  <c r="AB203" i="4"/>
  <c r="D203" i="4"/>
  <c r="C203" i="4"/>
  <c r="B203" i="4"/>
  <c r="BG202" i="4"/>
  <c r="BF202" i="4"/>
  <c r="BD202" i="4"/>
  <c r="BB202" i="4"/>
  <c r="AS202" i="4"/>
  <c r="AR202" i="4"/>
  <c r="AL202" i="4"/>
  <c r="AC202" i="4"/>
  <c r="AD202" i="4" s="1"/>
  <c r="AB202" i="4"/>
  <c r="D202" i="4"/>
  <c r="C202" i="4"/>
  <c r="B202" i="4"/>
  <c r="BG201" i="4"/>
  <c r="BF201" i="4"/>
  <c r="BD201" i="4"/>
  <c r="BB201" i="4"/>
  <c r="AS201" i="4"/>
  <c r="AR201" i="4"/>
  <c r="AL201" i="4"/>
  <c r="AC201" i="4"/>
  <c r="AD201" i="4" s="1"/>
  <c r="AB201" i="4"/>
  <c r="D201" i="4"/>
  <c r="C201" i="4"/>
  <c r="B201" i="4"/>
  <c r="BG200" i="4"/>
  <c r="BF200" i="4"/>
  <c r="BD200" i="4"/>
  <c r="BB200" i="4"/>
  <c r="AS200" i="4"/>
  <c r="AR200" i="4"/>
  <c r="AL200" i="4"/>
  <c r="AD200" i="4"/>
  <c r="AC200" i="4"/>
  <c r="AB200" i="4"/>
  <c r="D200" i="4"/>
  <c r="C200" i="4"/>
  <c r="B200" i="4"/>
  <c r="BG199" i="4"/>
  <c r="BF199" i="4"/>
  <c r="BD199" i="4"/>
  <c r="BB199" i="4"/>
  <c r="AS199" i="4"/>
  <c r="AR199" i="4"/>
  <c r="AL199" i="4"/>
  <c r="AC199" i="4"/>
  <c r="AD199" i="4" s="1"/>
  <c r="AB199" i="4"/>
  <c r="D199" i="4"/>
  <c r="C199" i="4"/>
  <c r="B199" i="4"/>
  <c r="BG198" i="4"/>
  <c r="BF198" i="4"/>
  <c r="BD198" i="4"/>
  <c r="BB198" i="4"/>
  <c r="AS198" i="4"/>
  <c r="AR198" i="4"/>
  <c r="AL198" i="4"/>
  <c r="AC198" i="4"/>
  <c r="AD198" i="4" s="1"/>
  <c r="AB198" i="4"/>
  <c r="D198" i="4"/>
  <c r="C198" i="4"/>
  <c r="B198" i="4"/>
  <c r="BG197" i="4"/>
  <c r="BF197" i="4"/>
  <c r="BD197" i="4"/>
  <c r="BB197" i="4"/>
  <c r="AS197" i="4"/>
  <c r="AR197" i="4"/>
  <c r="AL197" i="4"/>
  <c r="AC197" i="4"/>
  <c r="AD197" i="4" s="1"/>
  <c r="AB197" i="4"/>
  <c r="D197" i="4"/>
  <c r="C197" i="4"/>
  <c r="B197" i="4"/>
  <c r="BG196" i="4"/>
  <c r="BF196" i="4"/>
  <c r="BD196" i="4"/>
  <c r="BB196" i="4"/>
  <c r="AS196" i="4"/>
  <c r="AR196" i="4"/>
  <c r="AL196" i="4"/>
  <c r="AC196" i="4"/>
  <c r="AD196" i="4" s="1"/>
  <c r="AB196" i="4"/>
  <c r="D196" i="4"/>
  <c r="C196" i="4"/>
  <c r="B196" i="4"/>
  <c r="BG195" i="4"/>
  <c r="BF195" i="4"/>
  <c r="BD195" i="4"/>
  <c r="BB195" i="4"/>
  <c r="AS195" i="4"/>
  <c r="AR195" i="4"/>
  <c r="AL195" i="4"/>
  <c r="AD195" i="4"/>
  <c r="AC195" i="4"/>
  <c r="AB195" i="4"/>
  <c r="D195" i="4"/>
  <c r="C195" i="4"/>
  <c r="B195" i="4"/>
  <c r="BG194" i="4"/>
  <c r="BF194" i="4"/>
  <c r="BD194" i="4"/>
  <c r="BB194" i="4"/>
  <c r="AS194" i="4"/>
  <c r="AR194" i="4"/>
  <c r="AL194" i="4"/>
  <c r="AC194" i="4"/>
  <c r="AD194" i="4" s="1"/>
  <c r="AB194" i="4"/>
  <c r="D194" i="4"/>
  <c r="C194" i="4"/>
  <c r="B194" i="4"/>
  <c r="BG193" i="4"/>
  <c r="BF193" i="4"/>
  <c r="BD193" i="4"/>
  <c r="BB193" i="4"/>
  <c r="AS193" i="4"/>
  <c r="AR193" i="4"/>
  <c r="AL193" i="4"/>
  <c r="AD193" i="4"/>
  <c r="AC193" i="4"/>
  <c r="AB193" i="4"/>
  <c r="D193" i="4"/>
  <c r="C193" i="4"/>
  <c r="B193" i="4"/>
  <c r="BG192" i="4"/>
  <c r="BF192" i="4"/>
  <c r="BD192" i="4"/>
  <c r="BB192" i="4"/>
  <c r="AS192" i="4"/>
  <c r="AR192" i="4"/>
  <c r="AL192" i="4"/>
  <c r="AD192" i="4"/>
  <c r="AC192" i="4"/>
  <c r="AB192" i="4"/>
  <c r="D192" i="4"/>
  <c r="C192" i="4"/>
  <c r="B192" i="4"/>
  <c r="BG191" i="4"/>
  <c r="BF191" i="4"/>
  <c r="BD191" i="4"/>
  <c r="BB191" i="4"/>
  <c r="AS191" i="4"/>
  <c r="AR191" i="4"/>
  <c r="AL191" i="4"/>
  <c r="AD191" i="4"/>
  <c r="AC191" i="4"/>
  <c r="AB191" i="4"/>
  <c r="D191" i="4"/>
  <c r="C191" i="4"/>
  <c r="B191" i="4"/>
  <c r="BG190" i="4"/>
  <c r="BF190" i="4"/>
  <c r="BD190" i="4"/>
  <c r="BB190" i="4"/>
  <c r="AS190" i="4"/>
  <c r="AR190" i="4"/>
  <c r="AL190" i="4"/>
  <c r="AC190" i="4"/>
  <c r="AD190" i="4" s="1"/>
  <c r="AB190" i="4"/>
  <c r="D190" i="4"/>
  <c r="C190" i="4"/>
  <c r="B190" i="4"/>
  <c r="BG189" i="4"/>
  <c r="BF189" i="4"/>
  <c r="BD189" i="4"/>
  <c r="BB189" i="4"/>
  <c r="AS189" i="4"/>
  <c r="AR189" i="4"/>
  <c r="AL189" i="4"/>
  <c r="AC189" i="4"/>
  <c r="AD189" i="4" s="1"/>
  <c r="AB189" i="4"/>
  <c r="D189" i="4"/>
  <c r="C189" i="4"/>
  <c r="B189" i="4"/>
  <c r="BG188" i="4"/>
  <c r="BF188" i="4"/>
  <c r="BD188" i="4"/>
  <c r="BB188" i="4"/>
  <c r="AS188" i="4"/>
  <c r="AR188" i="4"/>
  <c r="AL188" i="4"/>
  <c r="AC188" i="4"/>
  <c r="AD188" i="4" s="1"/>
  <c r="AB188" i="4"/>
  <c r="D188" i="4"/>
  <c r="C188" i="4"/>
  <c r="B188" i="4"/>
  <c r="BG187" i="4"/>
  <c r="BF187" i="4"/>
  <c r="BD187" i="4"/>
  <c r="BB187" i="4"/>
  <c r="AS187" i="4"/>
  <c r="AR187" i="4"/>
  <c r="AL187" i="4"/>
  <c r="AC187" i="4"/>
  <c r="AD187" i="4" s="1"/>
  <c r="AB187" i="4"/>
  <c r="D187" i="4"/>
  <c r="C187" i="4"/>
  <c r="B187" i="4"/>
  <c r="BG186" i="4"/>
  <c r="BF186" i="4"/>
  <c r="BD186" i="4"/>
  <c r="BB186" i="4"/>
  <c r="AS186" i="4"/>
  <c r="AR186" i="4"/>
  <c r="AL186" i="4"/>
  <c r="AC186" i="4"/>
  <c r="AD186" i="4" s="1"/>
  <c r="AB186" i="4"/>
  <c r="D186" i="4"/>
  <c r="C186" i="4"/>
  <c r="B186" i="4"/>
  <c r="BG185" i="4"/>
  <c r="BF185" i="4"/>
  <c r="BD185" i="4"/>
  <c r="BB185" i="4"/>
  <c r="AS185" i="4"/>
  <c r="AR185" i="4"/>
  <c r="AL185" i="4"/>
  <c r="AC185" i="4"/>
  <c r="AD185" i="4" s="1"/>
  <c r="AB185" i="4"/>
  <c r="D185" i="4"/>
  <c r="C185" i="4"/>
  <c r="B185" i="4"/>
  <c r="BG184" i="4"/>
  <c r="BF184" i="4"/>
  <c r="BD184" i="4"/>
  <c r="BB184" i="4"/>
  <c r="AS184" i="4"/>
  <c r="AR184" i="4"/>
  <c r="AL184" i="4"/>
  <c r="AC184" i="4"/>
  <c r="AD184" i="4" s="1"/>
  <c r="AB184" i="4"/>
  <c r="D184" i="4"/>
  <c r="C184" i="4"/>
  <c r="B184" i="4"/>
  <c r="BG183" i="4"/>
  <c r="BF183" i="4"/>
  <c r="BD183" i="4"/>
  <c r="BB183" i="4"/>
  <c r="AS183" i="4"/>
  <c r="AR183" i="4"/>
  <c r="AL183" i="4"/>
  <c r="AC183" i="4"/>
  <c r="AD183" i="4" s="1"/>
  <c r="AB183" i="4"/>
  <c r="D183" i="4"/>
  <c r="C183" i="4"/>
  <c r="B183" i="4"/>
  <c r="BG182" i="4"/>
  <c r="BF182" i="4"/>
  <c r="BD182" i="4"/>
  <c r="BB182" i="4"/>
  <c r="AS182" i="4"/>
  <c r="AR182" i="4"/>
  <c r="AL182" i="4"/>
  <c r="AD182" i="4"/>
  <c r="AC182" i="4"/>
  <c r="AB182" i="4"/>
  <c r="D182" i="4"/>
  <c r="C182" i="4"/>
  <c r="B182" i="4"/>
  <c r="BG181" i="4"/>
  <c r="BF181" i="4"/>
  <c r="BD181" i="4"/>
  <c r="BB181" i="4"/>
  <c r="AS181" i="4"/>
  <c r="AR181" i="4"/>
  <c r="AL181" i="4"/>
  <c r="AC181" i="4"/>
  <c r="AD181" i="4" s="1"/>
  <c r="AB181" i="4"/>
  <c r="D181" i="4"/>
  <c r="C181" i="4"/>
  <c r="B181" i="4"/>
  <c r="BG180" i="4"/>
  <c r="BF180" i="4"/>
  <c r="BD180" i="4"/>
  <c r="BB180" i="4"/>
  <c r="AS180" i="4"/>
  <c r="AR180" i="4"/>
  <c r="AL180" i="4"/>
  <c r="AC180" i="4"/>
  <c r="AD180" i="4" s="1"/>
  <c r="AB180" i="4"/>
  <c r="D180" i="4"/>
  <c r="C180" i="4"/>
  <c r="B180" i="4"/>
  <c r="BG179" i="4"/>
  <c r="BF179" i="4"/>
  <c r="BD179" i="4"/>
  <c r="BB179" i="4"/>
  <c r="AS179" i="4"/>
  <c r="AR179" i="4"/>
  <c r="AL179" i="4"/>
  <c r="AC179" i="4"/>
  <c r="AD179" i="4" s="1"/>
  <c r="AB179" i="4"/>
  <c r="D179" i="4"/>
  <c r="C179" i="4"/>
  <c r="B179" i="4"/>
  <c r="BG178" i="4"/>
  <c r="BF178" i="4"/>
  <c r="BD178" i="4"/>
  <c r="BB178" i="4"/>
  <c r="AS178" i="4"/>
  <c r="AR178" i="4"/>
  <c r="AL178" i="4"/>
  <c r="AC178" i="4"/>
  <c r="AD178" i="4" s="1"/>
  <c r="AB178" i="4"/>
  <c r="D178" i="4"/>
  <c r="C178" i="4"/>
  <c r="B178" i="4"/>
  <c r="BG177" i="4"/>
  <c r="BF177" i="4"/>
  <c r="BD177" i="4"/>
  <c r="BB177" i="4"/>
  <c r="AS177" i="4"/>
  <c r="AR177" i="4"/>
  <c r="AL177" i="4"/>
  <c r="AO177" i="4" s="1"/>
  <c r="AP177" i="4" s="1"/>
  <c r="AQ177" i="4" s="1"/>
  <c r="AC177" i="4"/>
  <c r="AD177" i="4" s="1"/>
  <c r="AB177" i="4"/>
  <c r="D177" i="4"/>
  <c r="C177" i="4"/>
  <c r="B177" i="4"/>
  <c r="BG176" i="4"/>
  <c r="BF176" i="4"/>
  <c r="BD176" i="4"/>
  <c r="BB176" i="4"/>
  <c r="AS176" i="4"/>
  <c r="AR176" i="4"/>
  <c r="AL176" i="4"/>
  <c r="AC176" i="4"/>
  <c r="AD176" i="4" s="1"/>
  <c r="AB176" i="4"/>
  <c r="D176" i="4"/>
  <c r="C176" i="4"/>
  <c r="B176" i="4"/>
  <c r="BG175" i="4"/>
  <c r="BF175" i="4"/>
  <c r="BD175" i="4"/>
  <c r="BB175" i="4"/>
  <c r="AS175" i="4"/>
  <c r="AR175" i="4"/>
  <c r="AL175" i="4"/>
  <c r="AC175" i="4"/>
  <c r="AD175" i="4" s="1"/>
  <c r="AB175" i="4"/>
  <c r="D175" i="4"/>
  <c r="C175" i="4"/>
  <c r="B175" i="4"/>
  <c r="BG174" i="4"/>
  <c r="BF174" i="4"/>
  <c r="BD174" i="4"/>
  <c r="BB174" i="4"/>
  <c r="AS174" i="4"/>
  <c r="AR174" i="4"/>
  <c r="AL174" i="4"/>
  <c r="AC174" i="4"/>
  <c r="AD174" i="4" s="1"/>
  <c r="AB174" i="4"/>
  <c r="D174" i="4"/>
  <c r="C174" i="4"/>
  <c r="B174" i="4"/>
  <c r="BG173" i="4"/>
  <c r="BF173" i="4"/>
  <c r="BD173" i="4"/>
  <c r="BB173" i="4"/>
  <c r="AS173" i="4"/>
  <c r="AR173" i="4"/>
  <c r="AL173" i="4"/>
  <c r="AO173" i="4" s="1"/>
  <c r="AP173" i="4" s="1"/>
  <c r="AQ173" i="4" s="1"/>
  <c r="AC173" i="4"/>
  <c r="AD173" i="4" s="1"/>
  <c r="AB173" i="4"/>
  <c r="D173" i="4"/>
  <c r="C173" i="4"/>
  <c r="B173" i="4"/>
  <c r="BG172" i="4"/>
  <c r="BF172" i="4"/>
  <c r="BD172" i="4"/>
  <c r="BB172" i="4"/>
  <c r="AS172" i="4"/>
  <c r="AR172" i="4"/>
  <c r="AL172" i="4"/>
  <c r="AC172" i="4"/>
  <c r="AD172" i="4" s="1"/>
  <c r="AB172" i="4"/>
  <c r="D172" i="4"/>
  <c r="C172" i="4"/>
  <c r="B172" i="4"/>
  <c r="BG171" i="4"/>
  <c r="BF171" i="4"/>
  <c r="BD171" i="4"/>
  <c r="BB171" i="4"/>
  <c r="AS171" i="4"/>
  <c r="AR171" i="4"/>
  <c r="AL171" i="4"/>
  <c r="AC171" i="4"/>
  <c r="AD171" i="4" s="1"/>
  <c r="AB171" i="4"/>
  <c r="D171" i="4"/>
  <c r="C171" i="4"/>
  <c r="B171" i="4"/>
  <c r="BG170" i="4"/>
  <c r="BF170" i="4"/>
  <c r="BD170" i="4"/>
  <c r="BB170" i="4"/>
  <c r="AS170" i="4"/>
  <c r="AR170" i="4"/>
  <c r="AL170" i="4"/>
  <c r="AC170" i="4"/>
  <c r="AD170" i="4" s="1"/>
  <c r="AB170" i="4"/>
  <c r="D170" i="4"/>
  <c r="C170" i="4"/>
  <c r="B170" i="4"/>
  <c r="BG169" i="4"/>
  <c r="BF169" i="4"/>
  <c r="BD169" i="4"/>
  <c r="BB169" i="4"/>
  <c r="AS169" i="4"/>
  <c r="AR169" i="4"/>
  <c r="AL169" i="4"/>
  <c r="AO169" i="4" s="1"/>
  <c r="AP169" i="4" s="1"/>
  <c r="AQ169" i="4" s="1"/>
  <c r="AC169" i="4"/>
  <c r="AD169" i="4" s="1"/>
  <c r="AB169" i="4"/>
  <c r="D169" i="4"/>
  <c r="C169" i="4"/>
  <c r="B169" i="4"/>
  <c r="BG168" i="4"/>
  <c r="BF168" i="4"/>
  <c r="BD168" i="4"/>
  <c r="BB168" i="4"/>
  <c r="AS168" i="4"/>
  <c r="AR168" i="4"/>
  <c r="AL168" i="4"/>
  <c r="AC168" i="4"/>
  <c r="AD168" i="4" s="1"/>
  <c r="AB168" i="4"/>
  <c r="D168" i="4"/>
  <c r="C168" i="4"/>
  <c r="B168" i="4"/>
  <c r="BG167" i="4"/>
  <c r="BF167" i="4"/>
  <c r="BD167" i="4"/>
  <c r="BB167" i="4"/>
  <c r="AS167" i="4"/>
  <c r="AR167" i="4"/>
  <c r="AL167" i="4"/>
  <c r="AC167" i="4"/>
  <c r="AD167" i="4" s="1"/>
  <c r="AB167" i="4"/>
  <c r="D167" i="4"/>
  <c r="C167" i="4"/>
  <c r="B167" i="4"/>
  <c r="BG166" i="4"/>
  <c r="BF166" i="4"/>
  <c r="BD166" i="4"/>
  <c r="BB166" i="4"/>
  <c r="AS166" i="4"/>
  <c r="AR166" i="4"/>
  <c r="AL166" i="4"/>
  <c r="AC166" i="4"/>
  <c r="AD166" i="4" s="1"/>
  <c r="AB166" i="4"/>
  <c r="D166" i="4"/>
  <c r="C166" i="4"/>
  <c r="B166" i="4"/>
  <c r="BG165" i="4"/>
  <c r="BF165" i="4"/>
  <c r="BD165" i="4"/>
  <c r="BB165" i="4"/>
  <c r="AS165" i="4"/>
  <c r="AR165" i="4"/>
  <c r="AL165" i="4"/>
  <c r="AC165" i="4"/>
  <c r="AD165" i="4" s="1"/>
  <c r="AB165" i="4"/>
  <c r="D165" i="4"/>
  <c r="C165" i="4"/>
  <c r="B165" i="4"/>
  <c r="BG164" i="4"/>
  <c r="BF164" i="4"/>
  <c r="BD164" i="4"/>
  <c r="BB164" i="4"/>
  <c r="AS164" i="4"/>
  <c r="AR164" i="4"/>
  <c r="AL164" i="4"/>
  <c r="AC164" i="4"/>
  <c r="AD164" i="4" s="1"/>
  <c r="AB164" i="4"/>
  <c r="D164" i="4"/>
  <c r="C164" i="4"/>
  <c r="B164" i="4"/>
  <c r="BG163" i="4"/>
  <c r="BF163" i="4"/>
  <c r="BD163" i="4"/>
  <c r="BB163" i="4"/>
  <c r="AS163" i="4"/>
  <c r="AR163" i="4"/>
  <c r="AL163" i="4"/>
  <c r="AC163" i="4"/>
  <c r="AD163" i="4" s="1"/>
  <c r="AB163" i="4"/>
  <c r="D163" i="4"/>
  <c r="C163" i="4"/>
  <c r="B163" i="4"/>
  <c r="BG162" i="4"/>
  <c r="BF162" i="4"/>
  <c r="BD162" i="4"/>
  <c r="BB162" i="4"/>
  <c r="AS162" i="4"/>
  <c r="AR162" i="4"/>
  <c r="AL162" i="4"/>
  <c r="AC162" i="4"/>
  <c r="AD162" i="4" s="1"/>
  <c r="AB162" i="4"/>
  <c r="D162" i="4"/>
  <c r="C162" i="4"/>
  <c r="B162" i="4"/>
  <c r="BG161" i="4"/>
  <c r="BF161" i="4"/>
  <c r="BD161" i="4"/>
  <c r="BB161" i="4"/>
  <c r="AS161" i="4"/>
  <c r="AR161" i="4"/>
  <c r="AL161" i="4"/>
  <c r="AC161" i="4"/>
  <c r="AD161" i="4" s="1"/>
  <c r="AB161" i="4"/>
  <c r="D161" i="4"/>
  <c r="C161" i="4"/>
  <c r="B161" i="4"/>
  <c r="BG160" i="4"/>
  <c r="BF160" i="4"/>
  <c r="BD160" i="4"/>
  <c r="BB160" i="4"/>
  <c r="AS160" i="4"/>
  <c r="AR160" i="4"/>
  <c r="AL160" i="4"/>
  <c r="AC160" i="4"/>
  <c r="AD160" i="4" s="1"/>
  <c r="AB160" i="4"/>
  <c r="D160" i="4"/>
  <c r="C160" i="4"/>
  <c r="B160" i="4"/>
  <c r="BG159" i="4"/>
  <c r="BF159" i="4"/>
  <c r="BD159" i="4"/>
  <c r="BB159" i="4"/>
  <c r="AS159" i="4"/>
  <c r="AR159" i="4"/>
  <c r="AL159" i="4"/>
  <c r="AC159" i="4"/>
  <c r="AD159" i="4" s="1"/>
  <c r="AB159" i="4"/>
  <c r="D159" i="4"/>
  <c r="C159" i="4"/>
  <c r="B159" i="4"/>
  <c r="BG158" i="4"/>
  <c r="BF158" i="4"/>
  <c r="BD158" i="4"/>
  <c r="BB158" i="4"/>
  <c r="AS158" i="4"/>
  <c r="AR158" i="4"/>
  <c r="AL158" i="4"/>
  <c r="AC158" i="4"/>
  <c r="AD158" i="4" s="1"/>
  <c r="AB158" i="4"/>
  <c r="D158" i="4"/>
  <c r="C158" i="4"/>
  <c r="B158" i="4"/>
  <c r="BG157" i="4"/>
  <c r="BF157" i="4"/>
  <c r="BD157" i="4"/>
  <c r="BB157" i="4"/>
  <c r="AS157" i="4"/>
  <c r="AR157" i="4"/>
  <c r="AL157" i="4"/>
  <c r="AC157" i="4"/>
  <c r="AD157" i="4" s="1"/>
  <c r="AB157" i="4"/>
  <c r="D157" i="4"/>
  <c r="C157" i="4"/>
  <c r="B157" i="4"/>
  <c r="BG156" i="4"/>
  <c r="BF156" i="4"/>
  <c r="BD156" i="4"/>
  <c r="BB156" i="4"/>
  <c r="AS156" i="4"/>
  <c r="AR156" i="4"/>
  <c r="AL156" i="4"/>
  <c r="AC156" i="4"/>
  <c r="AD156" i="4" s="1"/>
  <c r="AB156" i="4"/>
  <c r="D156" i="4"/>
  <c r="C156" i="4"/>
  <c r="B156" i="4"/>
  <c r="BG155" i="4"/>
  <c r="BF155" i="4"/>
  <c r="BD155" i="4"/>
  <c r="BB155" i="4"/>
  <c r="AS155" i="4"/>
  <c r="AR155" i="4"/>
  <c r="AL155" i="4"/>
  <c r="AC155" i="4"/>
  <c r="AD155" i="4" s="1"/>
  <c r="AB155" i="4"/>
  <c r="D155" i="4"/>
  <c r="C155" i="4"/>
  <c r="B155" i="4"/>
  <c r="BG154" i="4"/>
  <c r="BF154" i="4"/>
  <c r="BD154" i="4"/>
  <c r="BB154" i="4"/>
  <c r="AS154" i="4"/>
  <c r="AR154" i="4"/>
  <c r="AL154" i="4"/>
  <c r="AC154" i="4"/>
  <c r="AD154" i="4" s="1"/>
  <c r="AB154" i="4"/>
  <c r="D154" i="4"/>
  <c r="C154" i="4"/>
  <c r="B154" i="4"/>
  <c r="BG153" i="4"/>
  <c r="BF153" i="4"/>
  <c r="BD153" i="4"/>
  <c r="BB153" i="4"/>
  <c r="AS153" i="4"/>
  <c r="AR153" i="4"/>
  <c r="AL153" i="4"/>
  <c r="AC153" i="4"/>
  <c r="AD153" i="4" s="1"/>
  <c r="AB153" i="4"/>
  <c r="D153" i="4"/>
  <c r="C153" i="4"/>
  <c r="B153" i="4"/>
  <c r="BG152" i="4"/>
  <c r="BF152" i="4"/>
  <c r="BD152" i="4"/>
  <c r="BB152" i="4"/>
  <c r="AS152" i="4"/>
  <c r="AR152" i="4"/>
  <c r="AL152" i="4"/>
  <c r="AC152" i="4"/>
  <c r="AD152" i="4" s="1"/>
  <c r="AB152" i="4"/>
  <c r="D152" i="4"/>
  <c r="C152" i="4"/>
  <c r="B152" i="4"/>
  <c r="BG151" i="4"/>
  <c r="BF151" i="4"/>
  <c r="BD151" i="4"/>
  <c r="BB151" i="4"/>
  <c r="AS151" i="4"/>
  <c r="AR151" i="4"/>
  <c r="AL151" i="4"/>
  <c r="AC151" i="4"/>
  <c r="AD151" i="4" s="1"/>
  <c r="AB151" i="4"/>
  <c r="D151" i="4"/>
  <c r="C151" i="4"/>
  <c r="B151" i="4"/>
  <c r="BG150" i="4"/>
  <c r="BF150" i="4"/>
  <c r="BD150" i="4"/>
  <c r="BB150" i="4"/>
  <c r="AS150" i="4"/>
  <c r="AR150" i="4"/>
  <c r="AL150" i="4"/>
  <c r="AC150" i="4"/>
  <c r="AD150" i="4" s="1"/>
  <c r="AB150" i="4"/>
  <c r="D150" i="4"/>
  <c r="C150" i="4"/>
  <c r="B150" i="4"/>
  <c r="BG149" i="4"/>
  <c r="BF149" i="4"/>
  <c r="BD149" i="4"/>
  <c r="BB149" i="4"/>
  <c r="AS149" i="4"/>
  <c r="AR149" i="4"/>
  <c r="AL149" i="4"/>
  <c r="AC149" i="4"/>
  <c r="AD149" i="4" s="1"/>
  <c r="AB149" i="4"/>
  <c r="D149" i="4"/>
  <c r="C149" i="4"/>
  <c r="B149" i="4"/>
  <c r="BG148" i="4"/>
  <c r="BF148" i="4"/>
  <c r="BD148" i="4"/>
  <c r="BB148" i="4"/>
  <c r="AS148" i="4"/>
  <c r="AR148" i="4"/>
  <c r="AL148" i="4"/>
  <c r="AC148" i="4"/>
  <c r="AD148" i="4" s="1"/>
  <c r="AB148" i="4"/>
  <c r="D148" i="4"/>
  <c r="C148" i="4"/>
  <c r="B148" i="4"/>
  <c r="BG147" i="4"/>
  <c r="BF147" i="4"/>
  <c r="BD147" i="4"/>
  <c r="BB147" i="4"/>
  <c r="AS147" i="4"/>
  <c r="AR147" i="4"/>
  <c r="AL147" i="4"/>
  <c r="AC147" i="4"/>
  <c r="AD147" i="4" s="1"/>
  <c r="AB147" i="4"/>
  <c r="D147" i="4"/>
  <c r="C147" i="4"/>
  <c r="B147" i="4"/>
  <c r="BG146" i="4"/>
  <c r="BF146" i="4"/>
  <c r="BD146" i="4"/>
  <c r="BB146" i="4"/>
  <c r="AS146" i="4"/>
  <c r="AR146" i="4"/>
  <c r="AL146" i="4"/>
  <c r="AC146" i="4"/>
  <c r="AD146" i="4" s="1"/>
  <c r="AB146" i="4"/>
  <c r="D146" i="4"/>
  <c r="C146" i="4"/>
  <c r="B146" i="4"/>
  <c r="BG145" i="4"/>
  <c r="BF145" i="4"/>
  <c r="BD145" i="4"/>
  <c r="BB145" i="4"/>
  <c r="AS145" i="4"/>
  <c r="AR145" i="4"/>
  <c r="AL145" i="4"/>
  <c r="AC145" i="4"/>
  <c r="AD145" i="4" s="1"/>
  <c r="AB145" i="4"/>
  <c r="D145" i="4"/>
  <c r="C145" i="4"/>
  <c r="B145" i="4"/>
  <c r="BG144" i="4"/>
  <c r="BF144" i="4"/>
  <c r="BD144" i="4"/>
  <c r="BB144" i="4"/>
  <c r="AS144" i="4"/>
  <c r="AR144" i="4"/>
  <c r="AL144" i="4"/>
  <c r="AC144" i="4"/>
  <c r="AD144" i="4" s="1"/>
  <c r="AB144" i="4"/>
  <c r="D144" i="4"/>
  <c r="C144" i="4"/>
  <c r="B144" i="4"/>
  <c r="BG143" i="4"/>
  <c r="BF143" i="4"/>
  <c r="BD143" i="4"/>
  <c r="BB143" i="4"/>
  <c r="AS143" i="4"/>
  <c r="AR143" i="4"/>
  <c r="AL143" i="4"/>
  <c r="AC143" i="4"/>
  <c r="AD143" i="4" s="1"/>
  <c r="AB143" i="4"/>
  <c r="D143" i="4"/>
  <c r="C143" i="4"/>
  <c r="B143" i="4"/>
  <c r="BG142" i="4"/>
  <c r="BF142" i="4"/>
  <c r="BD142" i="4"/>
  <c r="BB142" i="4"/>
  <c r="AS142" i="4"/>
  <c r="AR142" i="4"/>
  <c r="AL142" i="4"/>
  <c r="AC142" i="4"/>
  <c r="AD142" i="4" s="1"/>
  <c r="AB142" i="4"/>
  <c r="D142" i="4"/>
  <c r="C142" i="4"/>
  <c r="B142" i="4"/>
  <c r="BG141" i="4"/>
  <c r="BF141" i="4"/>
  <c r="BD141" i="4"/>
  <c r="BB141" i="4"/>
  <c r="AS141" i="4"/>
  <c r="AR141" i="4"/>
  <c r="AL141" i="4"/>
  <c r="AC141" i="4"/>
  <c r="AD141" i="4" s="1"/>
  <c r="AB141" i="4"/>
  <c r="D141" i="4"/>
  <c r="C141" i="4"/>
  <c r="B141" i="4"/>
  <c r="BG140" i="4"/>
  <c r="BF140" i="4"/>
  <c r="BD140" i="4"/>
  <c r="BB140" i="4"/>
  <c r="AS140" i="4"/>
  <c r="AR140" i="4"/>
  <c r="AL140" i="4"/>
  <c r="AC140" i="4"/>
  <c r="AD140" i="4" s="1"/>
  <c r="AB140" i="4"/>
  <c r="D140" i="4"/>
  <c r="C140" i="4"/>
  <c r="B140" i="4"/>
  <c r="BG139" i="4"/>
  <c r="BF139" i="4"/>
  <c r="BD139" i="4"/>
  <c r="BB139" i="4"/>
  <c r="AS139" i="4"/>
  <c r="AR139" i="4"/>
  <c r="AL139" i="4"/>
  <c r="AC139" i="4"/>
  <c r="AD139" i="4" s="1"/>
  <c r="AB139" i="4"/>
  <c r="D139" i="4"/>
  <c r="C139" i="4"/>
  <c r="B139" i="4"/>
  <c r="BG138" i="4"/>
  <c r="BF138" i="4"/>
  <c r="BD138" i="4"/>
  <c r="BB138" i="4"/>
  <c r="AS138" i="4"/>
  <c r="AR138" i="4"/>
  <c r="AL138" i="4"/>
  <c r="AC138" i="4"/>
  <c r="AD138" i="4" s="1"/>
  <c r="AB138" i="4"/>
  <c r="D138" i="4"/>
  <c r="C138" i="4"/>
  <c r="B138" i="4"/>
  <c r="BG137" i="4"/>
  <c r="BF137" i="4"/>
  <c r="BD137" i="4"/>
  <c r="BB137" i="4"/>
  <c r="AS137" i="4"/>
  <c r="AR137" i="4"/>
  <c r="AL137" i="4"/>
  <c r="AC137" i="4"/>
  <c r="AD137" i="4" s="1"/>
  <c r="AB137" i="4"/>
  <c r="D137" i="4"/>
  <c r="C137" i="4"/>
  <c r="B137" i="4"/>
  <c r="BG136" i="4"/>
  <c r="BF136" i="4"/>
  <c r="BD136" i="4"/>
  <c r="BB136" i="4"/>
  <c r="AS136" i="4"/>
  <c r="AR136" i="4"/>
  <c r="AL136" i="4"/>
  <c r="AC136" i="4"/>
  <c r="AD136" i="4" s="1"/>
  <c r="AB136" i="4"/>
  <c r="D136" i="4"/>
  <c r="C136" i="4"/>
  <c r="B136" i="4"/>
  <c r="BG135" i="4"/>
  <c r="BF135" i="4"/>
  <c r="BD135" i="4"/>
  <c r="BB135" i="4"/>
  <c r="AS135" i="4"/>
  <c r="AR135" i="4"/>
  <c r="AL135" i="4"/>
  <c r="AC135" i="4"/>
  <c r="AD135" i="4" s="1"/>
  <c r="AB135" i="4"/>
  <c r="D135" i="4"/>
  <c r="C135" i="4"/>
  <c r="B135" i="4"/>
  <c r="BG134" i="4"/>
  <c r="BF134" i="4"/>
  <c r="BD134" i="4"/>
  <c r="BB134" i="4"/>
  <c r="AS134" i="4"/>
  <c r="AR134" i="4"/>
  <c r="AL134" i="4"/>
  <c r="AC134" i="4"/>
  <c r="AD134" i="4" s="1"/>
  <c r="AB134" i="4"/>
  <c r="D134" i="4"/>
  <c r="C134" i="4"/>
  <c r="B134" i="4"/>
  <c r="BG133" i="4"/>
  <c r="BF133" i="4"/>
  <c r="BD133" i="4"/>
  <c r="BB133" i="4"/>
  <c r="AS133" i="4"/>
  <c r="AR133" i="4"/>
  <c r="AL133" i="4"/>
  <c r="AC133" i="4"/>
  <c r="AD133" i="4" s="1"/>
  <c r="AB133" i="4"/>
  <c r="D133" i="4"/>
  <c r="C133" i="4"/>
  <c r="B133" i="4"/>
  <c r="BG132" i="4"/>
  <c r="BF132" i="4"/>
  <c r="BD132" i="4"/>
  <c r="BB132" i="4"/>
  <c r="AS132" i="4"/>
  <c r="AR132" i="4"/>
  <c r="AL132" i="4"/>
  <c r="AC132" i="4"/>
  <c r="AD132" i="4" s="1"/>
  <c r="AB132" i="4"/>
  <c r="D132" i="4"/>
  <c r="C132" i="4"/>
  <c r="B132" i="4"/>
  <c r="BG131" i="4"/>
  <c r="BF131" i="4"/>
  <c r="BD131" i="4"/>
  <c r="BB131" i="4"/>
  <c r="AS131" i="4"/>
  <c r="AR131" i="4"/>
  <c r="AL131" i="4"/>
  <c r="AC131" i="4"/>
  <c r="AD131" i="4" s="1"/>
  <c r="AB131" i="4"/>
  <c r="D131" i="4"/>
  <c r="C131" i="4"/>
  <c r="B131" i="4"/>
  <c r="BG130" i="4"/>
  <c r="BF130" i="4"/>
  <c r="BD130" i="4"/>
  <c r="BB130" i="4"/>
  <c r="AS130" i="4"/>
  <c r="AR130" i="4"/>
  <c r="AL130" i="4"/>
  <c r="AC130" i="4"/>
  <c r="AD130" i="4" s="1"/>
  <c r="AB130" i="4"/>
  <c r="D130" i="4"/>
  <c r="C130" i="4"/>
  <c r="B130" i="4"/>
  <c r="BG129" i="4"/>
  <c r="BF129" i="4"/>
  <c r="BD129" i="4"/>
  <c r="BB129" i="4"/>
  <c r="AS129" i="4"/>
  <c r="AR129" i="4"/>
  <c r="AL129" i="4"/>
  <c r="AC129" i="4"/>
  <c r="AD129" i="4" s="1"/>
  <c r="AB129" i="4"/>
  <c r="D129" i="4"/>
  <c r="C129" i="4"/>
  <c r="B129" i="4"/>
  <c r="BG128" i="4"/>
  <c r="BF128" i="4"/>
  <c r="BD128" i="4"/>
  <c r="BB128" i="4"/>
  <c r="AS128" i="4"/>
  <c r="AR128" i="4"/>
  <c r="AL128" i="4"/>
  <c r="AC128" i="4"/>
  <c r="AD128" i="4" s="1"/>
  <c r="AB128" i="4"/>
  <c r="D128" i="4"/>
  <c r="C128" i="4"/>
  <c r="B128" i="4"/>
  <c r="BG127" i="4"/>
  <c r="BF127" i="4"/>
  <c r="BD127" i="4"/>
  <c r="BB127" i="4"/>
  <c r="AS127" i="4"/>
  <c r="AR127" i="4"/>
  <c r="AL127" i="4"/>
  <c r="AC127" i="4"/>
  <c r="AD127" i="4" s="1"/>
  <c r="AB127" i="4"/>
  <c r="D127" i="4"/>
  <c r="C127" i="4"/>
  <c r="B127" i="4"/>
  <c r="BG126" i="4"/>
  <c r="BF126" i="4"/>
  <c r="BD126" i="4"/>
  <c r="BB126" i="4"/>
  <c r="AS126" i="4"/>
  <c r="AR126" i="4"/>
  <c r="AL126" i="4"/>
  <c r="AC126" i="4"/>
  <c r="AD126" i="4" s="1"/>
  <c r="AB126" i="4"/>
  <c r="D126" i="4"/>
  <c r="C126" i="4"/>
  <c r="B126" i="4"/>
  <c r="BG125" i="4"/>
  <c r="BF125" i="4"/>
  <c r="BD125" i="4"/>
  <c r="BB125" i="4"/>
  <c r="AS125" i="4"/>
  <c r="AR125" i="4"/>
  <c r="AL125" i="4"/>
  <c r="AC125" i="4"/>
  <c r="AD125" i="4" s="1"/>
  <c r="AB125" i="4"/>
  <c r="D125" i="4"/>
  <c r="C125" i="4"/>
  <c r="B125" i="4"/>
  <c r="BG124" i="4"/>
  <c r="BF124" i="4"/>
  <c r="BD124" i="4"/>
  <c r="BB124" i="4"/>
  <c r="AS124" i="4"/>
  <c r="AR124" i="4"/>
  <c r="AL124" i="4"/>
  <c r="AC124" i="4"/>
  <c r="AD124" i="4" s="1"/>
  <c r="AB124" i="4"/>
  <c r="D124" i="4"/>
  <c r="C124" i="4"/>
  <c r="B124" i="4"/>
  <c r="BG123" i="4"/>
  <c r="BF123" i="4"/>
  <c r="BD123" i="4"/>
  <c r="BB123" i="4"/>
  <c r="AS123" i="4"/>
  <c r="AR123" i="4"/>
  <c r="AL123" i="4"/>
  <c r="AC123" i="4"/>
  <c r="AD123" i="4" s="1"/>
  <c r="AB123" i="4"/>
  <c r="D123" i="4"/>
  <c r="C123" i="4"/>
  <c r="B123" i="4"/>
  <c r="BG122" i="4"/>
  <c r="BF122" i="4"/>
  <c r="BD122" i="4"/>
  <c r="BB122" i="4"/>
  <c r="AS122" i="4"/>
  <c r="AR122" i="4"/>
  <c r="AL122" i="4"/>
  <c r="AC122" i="4"/>
  <c r="AD122" i="4" s="1"/>
  <c r="AB122" i="4"/>
  <c r="D122" i="4"/>
  <c r="C122" i="4"/>
  <c r="B122" i="4"/>
  <c r="BG121" i="4"/>
  <c r="BF121" i="4"/>
  <c r="BD121" i="4"/>
  <c r="BB121" i="4"/>
  <c r="AS121" i="4"/>
  <c r="AR121" i="4"/>
  <c r="AL121" i="4"/>
  <c r="AC121" i="4"/>
  <c r="AD121" i="4" s="1"/>
  <c r="AB121" i="4"/>
  <c r="D121" i="4"/>
  <c r="C121" i="4"/>
  <c r="B121" i="4"/>
  <c r="BG120" i="4"/>
  <c r="BF120" i="4"/>
  <c r="BD120" i="4"/>
  <c r="BB120" i="4"/>
  <c r="AS120" i="4"/>
  <c r="AR120" i="4"/>
  <c r="AL120" i="4"/>
  <c r="AC120" i="4"/>
  <c r="AD120" i="4" s="1"/>
  <c r="AB120" i="4"/>
  <c r="D120" i="4"/>
  <c r="C120" i="4"/>
  <c r="B120" i="4"/>
  <c r="BG119" i="4"/>
  <c r="BF119" i="4"/>
  <c r="BD119" i="4"/>
  <c r="BB119" i="4"/>
  <c r="AS119" i="4"/>
  <c r="AR119" i="4"/>
  <c r="AL119" i="4"/>
  <c r="AC119" i="4"/>
  <c r="AD119" i="4" s="1"/>
  <c r="AB119" i="4"/>
  <c r="D119" i="4"/>
  <c r="C119" i="4"/>
  <c r="B119" i="4"/>
  <c r="BG118" i="4"/>
  <c r="BF118" i="4"/>
  <c r="BD118" i="4"/>
  <c r="BB118" i="4"/>
  <c r="AS118" i="4"/>
  <c r="AR118" i="4"/>
  <c r="AL118" i="4"/>
  <c r="AC118" i="4"/>
  <c r="AD118" i="4" s="1"/>
  <c r="AB118" i="4"/>
  <c r="D118" i="4"/>
  <c r="C118" i="4"/>
  <c r="B118" i="4"/>
  <c r="BG117" i="4"/>
  <c r="BF117" i="4"/>
  <c r="BD117" i="4"/>
  <c r="BB117" i="4"/>
  <c r="AS117" i="4"/>
  <c r="AR117" i="4"/>
  <c r="AL117" i="4"/>
  <c r="AC117" i="4"/>
  <c r="AD117" i="4" s="1"/>
  <c r="AB117" i="4"/>
  <c r="D117" i="4"/>
  <c r="C117" i="4"/>
  <c r="B117" i="4"/>
  <c r="BG116" i="4"/>
  <c r="BF116" i="4"/>
  <c r="BD116" i="4"/>
  <c r="BB116" i="4"/>
  <c r="AS116" i="4"/>
  <c r="AR116" i="4"/>
  <c r="AL116" i="4"/>
  <c r="AC116" i="4"/>
  <c r="AD116" i="4" s="1"/>
  <c r="AB116" i="4"/>
  <c r="D116" i="4"/>
  <c r="C116" i="4"/>
  <c r="B116" i="4"/>
  <c r="BG115" i="4"/>
  <c r="BF115" i="4"/>
  <c r="BD115" i="4"/>
  <c r="BB115" i="4"/>
  <c r="AS115" i="4"/>
  <c r="AR115" i="4"/>
  <c r="AL115" i="4"/>
  <c r="AC115" i="4"/>
  <c r="AD115" i="4" s="1"/>
  <c r="AB115" i="4"/>
  <c r="D115" i="4"/>
  <c r="C115" i="4"/>
  <c r="B115" i="4"/>
  <c r="BG114" i="4"/>
  <c r="BF114" i="4"/>
  <c r="BD114" i="4"/>
  <c r="BB114" i="4"/>
  <c r="AS114" i="4"/>
  <c r="AR114" i="4"/>
  <c r="AL114" i="4"/>
  <c r="AC114" i="4"/>
  <c r="AD114" i="4" s="1"/>
  <c r="AB114" i="4"/>
  <c r="D114" i="4"/>
  <c r="C114" i="4"/>
  <c r="B114" i="4"/>
  <c r="BG113" i="4"/>
  <c r="BF113" i="4"/>
  <c r="BD113" i="4"/>
  <c r="BB113" i="4"/>
  <c r="AS113" i="4"/>
  <c r="AR113" i="4"/>
  <c r="AL113" i="4"/>
  <c r="AC113" i="4"/>
  <c r="AD113" i="4" s="1"/>
  <c r="AB113" i="4"/>
  <c r="D113" i="4"/>
  <c r="C113" i="4"/>
  <c r="B113" i="4"/>
  <c r="BG112" i="4"/>
  <c r="BF112" i="4"/>
  <c r="BD112" i="4"/>
  <c r="BB112" i="4"/>
  <c r="AS112" i="4"/>
  <c r="AR112" i="4"/>
  <c r="AL112" i="4"/>
  <c r="AC112" i="4"/>
  <c r="AD112" i="4" s="1"/>
  <c r="AB112" i="4"/>
  <c r="D112" i="4"/>
  <c r="C112" i="4"/>
  <c r="B112" i="4"/>
  <c r="BG111" i="4"/>
  <c r="BF111" i="4"/>
  <c r="BD111" i="4"/>
  <c r="BB111" i="4"/>
  <c r="AS111" i="4"/>
  <c r="AR111" i="4"/>
  <c r="AL111" i="4"/>
  <c r="AC111" i="4"/>
  <c r="AD111" i="4" s="1"/>
  <c r="AB111" i="4"/>
  <c r="D111" i="4"/>
  <c r="C111" i="4"/>
  <c r="B111" i="4"/>
  <c r="BG110" i="4"/>
  <c r="BF110" i="4"/>
  <c r="BD110" i="4"/>
  <c r="BB110" i="4"/>
  <c r="AS110" i="4"/>
  <c r="AR110" i="4"/>
  <c r="AL110" i="4"/>
  <c r="AC110" i="4"/>
  <c r="AD110" i="4" s="1"/>
  <c r="AB110" i="4"/>
  <c r="D110" i="4"/>
  <c r="C110" i="4"/>
  <c r="B110" i="4"/>
  <c r="BG109" i="4"/>
  <c r="BF109" i="4"/>
  <c r="BD109" i="4"/>
  <c r="BB109" i="4"/>
  <c r="AS109" i="4"/>
  <c r="AR109" i="4"/>
  <c r="AL109" i="4"/>
  <c r="AC109" i="4"/>
  <c r="AD109" i="4" s="1"/>
  <c r="AB109" i="4"/>
  <c r="D109" i="4"/>
  <c r="C109" i="4"/>
  <c r="B109" i="4"/>
  <c r="BG108" i="4"/>
  <c r="BF108" i="4"/>
  <c r="BD108" i="4"/>
  <c r="BB108" i="4"/>
  <c r="AS108" i="4"/>
  <c r="AR108" i="4"/>
  <c r="AL108" i="4"/>
  <c r="AC108" i="4"/>
  <c r="AD108" i="4" s="1"/>
  <c r="AB108" i="4"/>
  <c r="D108" i="4"/>
  <c r="C108" i="4"/>
  <c r="B108" i="4"/>
  <c r="BG107" i="4"/>
  <c r="BF107" i="4"/>
  <c r="BD107" i="4"/>
  <c r="BB107" i="4"/>
  <c r="AS107" i="4"/>
  <c r="AR107" i="4"/>
  <c r="AL107" i="4"/>
  <c r="AC107" i="4"/>
  <c r="AD107" i="4" s="1"/>
  <c r="AB107" i="4"/>
  <c r="D107" i="4"/>
  <c r="C107" i="4"/>
  <c r="B107" i="4"/>
  <c r="BG106" i="4"/>
  <c r="BF106" i="4"/>
  <c r="BD106" i="4"/>
  <c r="BB106" i="4"/>
  <c r="AS106" i="4"/>
  <c r="AR106" i="4"/>
  <c r="AL106" i="4"/>
  <c r="AC106" i="4"/>
  <c r="AD106" i="4" s="1"/>
  <c r="AB106" i="4"/>
  <c r="D106" i="4"/>
  <c r="C106" i="4"/>
  <c r="B106" i="4"/>
  <c r="BG105" i="4"/>
  <c r="BF105" i="4"/>
  <c r="BD105" i="4"/>
  <c r="BB105" i="4"/>
  <c r="AS105" i="4"/>
  <c r="AR105" i="4"/>
  <c r="AL105" i="4"/>
  <c r="AC105" i="4"/>
  <c r="AD105" i="4" s="1"/>
  <c r="AB105" i="4"/>
  <c r="D105" i="4"/>
  <c r="C105" i="4"/>
  <c r="B105" i="4"/>
  <c r="BG104" i="4"/>
  <c r="BF104" i="4"/>
  <c r="BD104" i="4"/>
  <c r="BB104" i="4"/>
  <c r="AS104" i="4"/>
  <c r="AR104" i="4"/>
  <c r="AL104" i="4"/>
  <c r="AC104" i="4"/>
  <c r="AD104" i="4" s="1"/>
  <c r="AB104" i="4"/>
  <c r="D104" i="4"/>
  <c r="C104" i="4"/>
  <c r="B104" i="4"/>
  <c r="BG103" i="4"/>
  <c r="BF103" i="4"/>
  <c r="BD103" i="4"/>
  <c r="BB103" i="4"/>
  <c r="AS103" i="4"/>
  <c r="AR103" i="4"/>
  <c r="AL103" i="4"/>
  <c r="AC103" i="4"/>
  <c r="AD103" i="4" s="1"/>
  <c r="AB103" i="4"/>
  <c r="D103" i="4"/>
  <c r="C103" i="4"/>
  <c r="B103" i="4"/>
  <c r="BG102" i="4"/>
  <c r="BF102" i="4"/>
  <c r="BD102" i="4"/>
  <c r="BB102" i="4"/>
  <c r="AS102" i="4"/>
  <c r="AR102" i="4"/>
  <c r="AL102" i="4"/>
  <c r="AC102" i="4"/>
  <c r="AD102" i="4" s="1"/>
  <c r="AB102" i="4"/>
  <c r="D102" i="4"/>
  <c r="C102" i="4"/>
  <c r="B102" i="4"/>
  <c r="BG101" i="4"/>
  <c r="BF101" i="4"/>
  <c r="BD101" i="4"/>
  <c r="BB101" i="4"/>
  <c r="AS101" i="4"/>
  <c r="AR101" i="4"/>
  <c r="AL101" i="4"/>
  <c r="AC101" i="4"/>
  <c r="AD101" i="4" s="1"/>
  <c r="AB101" i="4"/>
  <c r="D101" i="4"/>
  <c r="C101" i="4"/>
  <c r="B101" i="4"/>
  <c r="BG100" i="4"/>
  <c r="BF100" i="4"/>
  <c r="BD100" i="4"/>
  <c r="BB100" i="4"/>
  <c r="AS100" i="4"/>
  <c r="AR100" i="4"/>
  <c r="AL100" i="4"/>
  <c r="AC100" i="4"/>
  <c r="AD100" i="4" s="1"/>
  <c r="AB100" i="4"/>
  <c r="D100" i="4"/>
  <c r="C100" i="4"/>
  <c r="B100" i="4"/>
  <c r="BG99" i="4"/>
  <c r="BF99" i="4"/>
  <c r="BD99" i="4"/>
  <c r="BB99" i="4"/>
  <c r="AS99" i="4"/>
  <c r="AR99" i="4"/>
  <c r="AL99" i="4"/>
  <c r="AC99" i="4"/>
  <c r="AD99" i="4" s="1"/>
  <c r="AB99" i="4"/>
  <c r="D99" i="4"/>
  <c r="C99" i="4"/>
  <c r="B99" i="4"/>
  <c r="BG98" i="4"/>
  <c r="BF98" i="4"/>
  <c r="BD98" i="4"/>
  <c r="BB98" i="4"/>
  <c r="AS98" i="4"/>
  <c r="AR98" i="4"/>
  <c r="AL98" i="4"/>
  <c r="AC98" i="4"/>
  <c r="AD98" i="4" s="1"/>
  <c r="AB98" i="4"/>
  <c r="D98" i="4"/>
  <c r="C98" i="4"/>
  <c r="B98" i="4"/>
  <c r="BG97" i="4"/>
  <c r="BF97" i="4"/>
  <c r="BD97" i="4"/>
  <c r="BB97" i="4"/>
  <c r="AS97" i="4"/>
  <c r="AR97" i="4"/>
  <c r="AL97" i="4"/>
  <c r="AC97" i="4"/>
  <c r="AD97" i="4" s="1"/>
  <c r="AB97" i="4"/>
  <c r="D97" i="4"/>
  <c r="C97" i="4"/>
  <c r="B97" i="4"/>
  <c r="BG96" i="4"/>
  <c r="BF96" i="4"/>
  <c r="BD96" i="4"/>
  <c r="BB96" i="4"/>
  <c r="AS96" i="4"/>
  <c r="AR96" i="4"/>
  <c r="AL96" i="4"/>
  <c r="AC96" i="4"/>
  <c r="AD96" i="4" s="1"/>
  <c r="AB96" i="4"/>
  <c r="D96" i="4"/>
  <c r="C96" i="4"/>
  <c r="B96" i="4"/>
  <c r="BG95" i="4"/>
  <c r="BF95" i="4"/>
  <c r="BD95" i="4"/>
  <c r="BB95" i="4"/>
  <c r="AS95" i="4"/>
  <c r="AR95" i="4"/>
  <c r="AL95" i="4"/>
  <c r="AC95" i="4"/>
  <c r="AD95" i="4" s="1"/>
  <c r="AB95" i="4"/>
  <c r="D95" i="4"/>
  <c r="C95" i="4"/>
  <c r="B95" i="4"/>
  <c r="BG94" i="4"/>
  <c r="BF94" i="4"/>
  <c r="BD94" i="4"/>
  <c r="BB94" i="4"/>
  <c r="AS94" i="4"/>
  <c r="AR94" i="4"/>
  <c r="AL94" i="4"/>
  <c r="AC94" i="4"/>
  <c r="AD94" i="4" s="1"/>
  <c r="AB94" i="4"/>
  <c r="D94" i="4"/>
  <c r="C94" i="4"/>
  <c r="B94" i="4"/>
  <c r="BG93" i="4"/>
  <c r="BF93" i="4"/>
  <c r="BD93" i="4"/>
  <c r="BB93" i="4"/>
  <c r="AS93" i="4"/>
  <c r="AR93" i="4"/>
  <c r="AL93" i="4"/>
  <c r="AC93" i="4"/>
  <c r="AD93" i="4" s="1"/>
  <c r="AB93" i="4"/>
  <c r="D93" i="4"/>
  <c r="C93" i="4"/>
  <c r="B93" i="4"/>
  <c r="BG92" i="4"/>
  <c r="BF92" i="4"/>
  <c r="BD92" i="4"/>
  <c r="BB92" i="4"/>
  <c r="AS92" i="4"/>
  <c r="AR92" i="4"/>
  <c r="AL92" i="4"/>
  <c r="AC92" i="4"/>
  <c r="AD92" i="4" s="1"/>
  <c r="AB92" i="4"/>
  <c r="D92" i="4"/>
  <c r="C92" i="4"/>
  <c r="B92" i="4"/>
  <c r="BG91" i="4"/>
  <c r="BF91" i="4"/>
  <c r="BD91" i="4"/>
  <c r="BB91" i="4"/>
  <c r="AS91" i="4"/>
  <c r="AR91" i="4"/>
  <c r="AL91" i="4"/>
  <c r="AC91" i="4"/>
  <c r="AD91" i="4" s="1"/>
  <c r="AB91" i="4"/>
  <c r="D91" i="4"/>
  <c r="C91" i="4"/>
  <c r="B91" i="4"/>
  <c r="BG90" i="4"/>
  <c r="BF90" i="4"/>
  <c r="BD90" i="4"/>
  <c r="BB90" i="4"/>
  <c r="AS90" i="4"/>
  <c r="AR90" i="4"/>
  <c r="AL90" i="4"/>
  <c r="AC90" i="4"/>
  <c r="AD90" i="4" s="1"/>
  <c r="AB90" i="4"/>
  <c r="D90" i="4"/>
  <c r="C90" i="4"/>
  <c r="B90" i="4"/>
  <c r="BG89" i="4"/>
  <c r="BF89" i="4"/>
  <c r="BD89" i="4"/>
  <c r="BB89" i="4"/>
  <c r="AS89" i="4"/>
  <c r="AR89" i="4"/>
  <c r="AL89" i="4"/>
  <c r="AC89" i="4"/>
  <c r="AD89" i="4" s="1"/>
  <c r="AB89" i="4"/>
  <c r="D89" i="4"/>
  <c r="C89" i="4"/>
  <c r="B89" i="4"/>
  <c r="BG88" i="4"/>
  <c r="BF88" i="4"/>
  <c r="BD88" i="4"/>
  <c r="BB88" i="4"/>
  <c r="AS88" i="4"/>
  <c r="AR88" i="4"/>
  <c r="AL88" i="4"/>
  <c r="AC88" i="4"/>
  <c r="AD88" i="4" s="1"/>
  <c r="AB88" i="4"/>
  <c r="D88" i="4"/>
  <c r="C88" i="4"/>
  <c r="B88" i="4"/>
  <c r="BG87" i="4"/>
  <c r="BF87" i="4"/>
  <c r="BD87" i="4"/>
  <c r="BB87" i="4"/>
  <c r="AS87" i="4"/>
  <c r="AR87" i="4"/>
  <c r="AL87" i="4"/>
  <c r="AC87" i="4"/>
  <c r="AD87" i="4" s="1"/>
  <c r="AB87" i="4"/>
  <c r="D87" i="4"/>
  <c r="C87" i="4"/>
  <c r="B87" i="4"/>
  <c r="BG86" i="4"/>
  <c r="BF86" i="4"/>
  <c r="BD86" i="4"/>
  <c r="BB86" i="4"/>
  <c r="AS86" i="4"/>
  <c r="AR86" i="4"/>
  <c r="AL86" i="4"/>
  <c r="AC86" i="4"/>
  <c r="AD86" i="4" s="1"/>
  <c r="AB86" i="4"/>
  <c r="D86" i="4"/>
  <c r="C86" i="4"/>
  <c r="B86" i="4"/>
  <c r="BG85" i="4"/>
  <c r="BF85" i="4"/>
  <c r="BD85" i="4"/>
  <c r="BB85" i="4"/>
  <c r="AS85" i="4"/>
  <c r="AR85" i="4"/>
  <c r="AL85" i="4"/>
  <c r="AC85" i="4"/>
  <c r="AD85" i="4" s="1"/>
  <c r="AB85" i="4"/>
  <c r="D85" i="4"/>
  <c r="C85" i="4"/>
  <c r="B85" i="4"/>
  <c r="BG84" i="4"/>
  <c r="BF84" i="4"/>
  <c r="BD84" i="4"/>
  <c r="BB84" i="4"/>
  <c r="AS84" i="4"/>
  <c r="AR84" i="4"/>
  <c r="AL84" i="4"/>
  <c r="AC84" i="4"/>
  <c r="AD84" i="4" s="1"/>
  <c r="AB84" i="4"/>
  <c r="D84" i="4"/>
  <c r="C84" i="4"/>
  <c r="B84" i="4"/>
  <c r="BG83" i="4"/>
  <c r="BF83" i="4"/>
  <c r="BD83" i="4"/>
  <c r="BB83" i="4"/>
  <c r="AS83" i="4"/>
  <c r="AR83" i="4"/>
  <c r="AL83" i="4"/>
  <c r="AC83" i="4"/>
  <c r="AD83" i="4" s="1"/>
  <c r="AB83" i="4"/>
  <c r="D83" i="4"/>
  <c r="C83" i="4"/>
  <c r="B83" i="4"/>
  <c r="BG82" i="4"/>
  <c r="BF82" i="4"/>
  <c r="BD82" i="4"/>
  <c r="BB82" i="4"/>
  <c r="AS82" i="4"/>
  <c r="AR82" i="4"/>
  <c r="AL82" i="4"/>
  <c r="AC82" i="4"/>
  <c r="AD82" i="4" s="1"/>
  <c r="AB82" i="4"/>
  <c r="D82" i="4"/>
  <c r="C82" i="4"/>
  <c r="B82" i="4"/>
  <c r="BG81" i="4"/>
  <c r="BF81" i="4"/>
  <c r="BD81" i="4"/>
  <c r="BB81" i="4"/>
  <c r="AS81" i="4"/>
  <c r="AR81" i="4"/>
  <c r="AL81" i="4"/>
  <c r="AC81" i="4"/>
  <c r="AD81" i="4" s="1"/>
  <c r="AB81" i="4"/>
  <c r="D81" i="4"/>
  <c r="C81" i="4"/>
  <c r="B81" i="4"/>
  <c r="BG80" i="4"/>
  <c r="BF80" i="4"/>
  <c r="BD80" i="4"/>
  <c r="BB80" i="4"/>
  <c r="AS80" i="4"/>
  <c r="AR80" i="4"/>
  <c r="AL80" i="4"/>
  <c r="AC80" i="4"/>
  <c r="AD80" i="4" s="1"/>
  <c r="AB80" i="4"/>
  <c r="D80" i="4"/>
  <c r="C80" i="4"/>
  <c r="B80" i="4"/>
  <c r="BG79" i="4"/>
  <c r="BF79" i="4"/>
  <c r="BD79" i="4"/>
  <c r="BB79" i="4"/>
  <c r="AS79" i="4"/>
  <c r="AR79" i="4"/>
  <c r="AL79" i="4"/>
  <c r="AC79" i="4"/>
  <c r="AD79" i="4" s="1"/>
  <c r="AB79" i="4"/>
  <c r="D79" i="4"/>
  <c r="C79" i="4"/>
  <c r="B79" i="4"/>
  <c r="BG78" i="4"/>
  <c r="BF78" i="4"/>
  <c r="BD78" i="4"/>
  <c r="BB78" i="4"/>
  <c r="AS78" i="4"/>
  <c r="AR78" i="4"/>
  <c r="AL78" i="4"/>
  <c r="AC78" i="4"/>
  <c r="AD78" i="4" s="1"/>
  <c r="AB78" i="4"/>
  <c r="D78" i="4"/>
  <c r="C78" i="4"/>
  <c r="B78" i="4"/>
  <c r="BG77" i="4"/>
  <c r="BF77" i="4"/>
  <c r="BD77" i="4"/>
  <c r="BB77" i="4"/>
  <c r="AS77" i="4"/>
  <c r="AR77" i="4"/>
  <c r="AL77" i="4"/>
  <c r="AC77" i="4"/>
  <c r="AD77" i="4" s="1"/>
  <c r="AB77" i="4"/>
  <c r="D77" i="4"/>
  <c r="C77" i="4"/>
  <c r="B77" i="4"/>
  <c r="BG76" i="4"/>
  <c r="BF76" i="4"/>
  <c r="BD76" i="4"/>
  <c r="BB76" i="4"/>
  <c r="AS76" i="4"/>
  <c r="AR76" i="4"/>
  <c r="AL76" i="4"/>
  <c r="AC76" i="4"/>
  <c r="AD76" i="4" s="1"/>
  <c r="AB76" i="4"/>
  <c r="D76" i="4"/>
  <c r="C76" i="4"/>
  <c r="B76" i="4"/>
  <c r="BG75" i="4"/>
  <c r="BF75" i="4"/>
  <c r="BD75" i="4"/>
  <c r="BB75" i="4"/>
  <c r="AS75" i="4"/>
  <c r="AR75" i="4"/>
  <c r="AL75" i="4"/>
  <c r="AC75" i="4"/>
  <c r="AD75" i="4" s="1"/>
  <c r="AB75" i="4"/>
  <c r="D75" i="4"/>
  <c r="C75" i="4"/>
  <c r="B75" i="4"/>
  <c r="BG74" i="4"/>
  <c r="BF74" i="4"/>
  <c r="BD74" i="4"/>
  <c r="BB74" i="4"/>
  <c r="AS74" i="4"/>
  <c r="AR74" i="4"/>
  <c r="AL74" i="4"/>
  <c r="AC74" i="4"/>
  <c r="AD74" i="4" s="1"/>
  <c r="AB74" i="4"/>
  <c r="D74" i="4"/>
  <c r="C74" i="4"/>
  <c r="B74" i="4"/>
  <c r="BG73" i="4"/>
  <c r="BF73" i="4"/>
  <c r="BD73" i="4"/>
  <c r="BB73" i="4"/>
  <c r="AS73" i="4"/>
  <c r="AR73" i="4"/>
  <c r="AL73" i="4"/>
  <c r="AC73" i="4"/>
  <c r="AD73" i="4" s="1"/>
  <c r="AB73" i="4"/>
  <c r="D73" i="4"/>
  <c r="C73" i="4"/>
  <c r="B73" i="4"/>
  <c r="BG72" i="4"/>
  <c r="BF72" i="4"/>
  <c r="BD72" i="4"/>
  <c r="BB72" i="4"/>
  <c r="AS72" i="4"/>
  <c r="AR72" i="4"/>
  <c r="AL72" i="4"/>
  <c r="AC72" i="4"/>
  <c r="AD72" i="4" s="1"/>
  <c r="AB72" i="4"/>
  <c r="D72" i="4"/>
  <c r="C72" i="4"/>
  <c r="B72" i="4"/>
  <c r="BG71" i="4"/>
  <c r="BF71" i="4"/>
  <c r="BD71" i="4"/>
  <c r="BB71" i="4"/>
  <c r="AS71" i="4"/>
  <c r="AR71" i="4"/>
  <c r="AL71" i="4"/>
  <c r="AC71" i="4"/>
  <c r="AD71" i="4" s="1"/>
  <c r="AB71" i="4"/>
  <c r="D71" i="4"/>
  <c r="C71" i="4"/>
  <c r="B71" i="4"/>
  <c r="BG70" i="4"/>
  <c r="BF70" i="4"/>
  <c r="BD70" i="4"/>
  <c r="BB70" i="4"/>
  <c r="AS70" i="4"/>
  <c r="AR70" i="4"/>
  <c r="AL70" i="4"/>
  <c r="AC70" i="4"/>
  <c r="AD70" i="4" s="1"/>
  <c r="AB70" i="4"/>
  <c r="D70" i="4"/>
  <c r="C70" i="4"/>
  <c r="B70" i="4"/>
  <c r="BG69" i="4"/>
  <c r="BF69" i="4"/>
  <c r="BD69" i="4"/>
  <c r="BB69" i="4"/>
  <c r="AS69" i="4"/>
  <c r="AR69" i="4"/>
  <c r="AL69" i="4"/>
  <c r="AC69" i="4"/>
  <c r="AD69" i="4" s="1"/>
  <c r="AB69" i="4"/>
  <c r="D69" i="4"/>
  <c r="C69" i="4"/>
  <c r="B69" i="4"/>
  <c r="BG68" i="4"/>
  <c r="BF68" i="4"/>
  <c r="BD68" i="4"/>
  <c r="BB68" i="4"/>
  <c r="AS68" i="4"/>
  <c r="AR68" i="4"/>
  <c r="AL68" i="4"/>
  <c r="AC68" i="4"/>
  <c r="AD68" i="4" s="1"/>
  <c r="AB68" i="4"/>
  <c r="D68" i="4"/>
  <c r="C68" i="4"/>
  <c r="B68" i="4"/>
  <c r="BG67" i="4"/>
  <c r="BF67" i="4"/>
  <c r="BD67" i="4"/>
  <c r="BB67" i="4"/>
  <c r="AS67" i="4"/>
  <c r="AR67" i="4"/>
  <c r="AL67" i="4"/>
  <c r="AC67" i="4"/>
  <c r="AD67" i="4" s="1"/>
  <c r="AB67" i="4"/>
  <c r="D67" i="4"/>
  <c r="C67" i="4"/>
  <c r="B67" i="4"/>
  <c r="BG66" i="4"/>
  <c r="BF66" i="4"/>
  <c r="BD66" i="4"/>
  <c r="BB66" i="4"/>
  <c r="AS66" i="4"/>
  <c r="AR66" i="4"/>
  <c r="AL66" i="4"/>
  <c r="AC66" i="4"/>
  <c r="AD66" i="4" s="1"/>
  <c r="AB66" i="4"/>
  <c r="D66" i="4"/>
  <c r="C66" i="4"/>
  <c r="B66" i="4"/>
  <c r="BG65" i="4"/>
  <c r="BF65" i="4"/>
  <c r="BD65" i="4"/>
  <c r="BB65" i="4"/>
  <c r="AS65" i="4"/>
  <c r="AR65" i="4"/>
  <c r="AL65" i="4"/>
  <c r="AC65" i="4"/>
  <c r="AD65" i="4" s="1"/>
  <c r="AB65" i="4"/>
  <c r="D65" i="4"/>
  <c r="C65" i="4"/>
  <c r="B65" i="4"/>
  <c r="BG64" i="4"/>
  <c r="BF64" i="4"/>
  <c r="BD64" i="4"/>
  <c r="BB64" i="4"/>
  <c r="AS64" i="4"/>
  <c r="AR64" i="4"/>
  <c r="AL64" i="4"/>
  <c r="AC64" i="4"/>
  <c r="AD64" i="4" s="1"/>
  <c r="AB64" i="4"/>
  <c r="D64" i="4"/>
  <c r="C64" i="4"/>
  <c r="B64" i="4"/>
  <c r="BG63" i="4"/>
  <c r="BF63" i="4"/>
  <c r="BD63" i="4"/>
  <c r="BB63" i="4"/>
  <c r="AS63" i="4"/>
  <c r="AR63" i="4"/>
  <c r="AL63" i="4"/>
  <c r="AC63" i="4"/>
  <c r="AD63" i="4" s="1"/>
  <c r="AB63" i="4"/>
  <c r="D63" i="4"/>
  <c r="C63" i="4"/>
  <c r="B63" i="4"/>
  <c r="BG62" i="4"/>
  <c r="BF62" i="4"/>
  <c r="BD62" i="4"/>
  <c r="BB62" i="4"/>
  <c r="AS62" i="4"/>
  <c r="AR62" i="4"/>
  <c r="AL62" i="4"/>
  <c r="AC62" i="4"/>
  <c r="AD62" i="4" s="1"/>
  <c r="AB62" i="4"/>
  <c r="D62" i="4"/>
  <c r="C62" i="4"/>
  <c r="B62" i="4"/>
  <c r="BG61" i="4"/>
  <c r="BF61" i="4"/>
  <c r="BD61" i="4"/>
  <c r="BB61" i="4"/>
  <c r="AS61" i="4"/>
  <c r="AR61" i="4"/>
  <c r="AL61" i="4"/>
  <c r="AC61" i="4"/>
  <c r="AD61" i="4" s="1"/>
  <c r="AB61" i="4"/>
  <c r="D61" i="4"/>
  <c r="C61" i="4"/>
  <c r="B61" i="4"/>
  <c r="BG60" i="4"/>
  <c r="BF60" i="4"/>
  <c r="BD60" i="4"/>
  <c r="BB60" i="4"/>
  <c r="AS60" i="4"/>
  <c r="AR60" i="4"/>
  <c r="AL60" i="4"/>
  <c r="AC60" i="4"/>
  <c r="AD60" i="4" s="1"/>
  <c r="AB60" i="4"/>
  <c r="D60" i="4"/>
  <c r="C60" i="4"/>
  <c r="B60" i="4"/>
  <c r="BG59" i="4"/>
  <c r="BF59" i="4"/>
  <c r="BD59" i="4"/>
  <c r="BB59" i="4"/>
  <c r="AS59" i="4"/>
  <c r="AR59" i="4"/>
  <c r="AL59" i="4"/>
  <c r="AC59" i="4"/>
  <c r="AD59" i="4" s="1"/>
  <c r="AB59" i="4"/>
  <c r="D59" i="4"/>
  <c r="C59" i="4"/>
  <c r="B59" i="4"/>
  <c r="BG58" i="4"/>
  <c r="BF58" i="4"/>
  <c r="BD58" i="4"/>
  <c r="BB58" i="4"/>
  <c r="AS58" i="4"/>
  <c r="AR58" i="4"/>
  <c r="AL58" i="4"/>
  <c r="AC58" i="4"/>
  <c r="AD58" i="4" s="1"/>
  <c r="AB58" i="4"/>
  <c r="D58" i="4"/>
  <c r="C58" i="4"/>
  <c r="B58" i="4"/>
  <c r="BG57" i="4"/>
  <c r="BF57" i="4"/>
  <c r="BD57" i="4"/>
  <c r="BB57" i="4"/>
  <c r="AS57" i="4"/>
  <c r="AR57" i="4"/>
  <c r="AL57" i="4"/>
  <c r="AC57" i="4"/>
  <c r="AD57" i="4" s="1"/>
  <c r="AB57" i="4"/>
  <c r="D57" i="4"/>
  <c r="C57" i="4"/>
  <c r="B57" i="4"/>
  <c r="BG56" i="4"/>
  <c r="BF56" i="4"/>
  <c r="BD56" i="4"/>
  <c r="BB56" i="4"/>
  <c r="AS56" i="4"/>
  <c r="AR56" i="4"/>
  <c r="AL56" i="4"/>
  <c r="AC56" i="4"/>
  <c r="AD56" i="4" s="1"/>
  <c r="AB56" i="4"/>
  <c r="D56" i="4"/>
  <c r="C56" i="4"/>
  <c r="B56" i="4"/>
  <c r="BG55" i="4"/>
  <c r="BF55" i="4"/>
  <c r="BD55" i="4"/>
  <c r="BB55" i="4"/>
  <c r="AS55" i="4"/>
  <c r="AR55" i="4"/>
  <c r="AL55" i="4"/>
  <c r="AC55" i="4"/>
  <c r="AD55" i="4" s="1"/>
  <c r="AB55" i="4"/>
  <c r="D55" i="4"/>
  <c r="C55" i="4"/>
  <c r="B55" i="4"/>
  <c r="BG54" i="4"/>
  <c r="BF54" i="4"/>
  <c r="BD54" i="4"/>
  <c r="BB54" i="4"/>
  <c r="AS54" i="4"/>
  <c r="AR54" i="4"/>
  <c r="AL54" i="4"/>
  <c r="AC54" i="4"/>
  <c r="AD54" i="4" s="1"/>
  <c r="AB54" i="4"/>
  <c r="D54" i="4"/>
  <c r="C54" i="4"/>
  <c r="B54" i="4"/>
  <c r="BG53" i="4"/>
  <c r="BF53" i="4"/>
  <c r="BD53" i="4"/>
  <c r="BB53" i="4"/>
  <c r="AS53" i="4"/>
  <c r="AR53" i="4"/>
  <c r="AL53" i="4"/>
  <c r="AC53" i="4"/>
  <c r="AD53" i="4" s="1"/>
  <c r="AB53" i="4"/>
  <c r="D53" i="4"/>
  <c r="C53" i="4"/>
  <c r="B53" i="4"/>
  <c r="BG52" i="4"/>
  <c r="BF52" i="4"/>
  <c r="BD52" i="4"/>
  <c r="BB52" i="4"/>
  <c r="AS52" i="4"/>
  <c r="AR52" i="4"/>
  <c r="AL52" i="4"/>
  <c r="AC52" i="4"/>
  <c r="AD52" i="4" s="1"/>
  <c r="AB52" i="4"/>
  <c r="D52" i="4"/>
  <c r="C52" i="4"/>
  <c r="B52" i="4"/>
  <c r="BG51" i="4"/>
  <c r="BF51" i="4"/>
  <c r="BD51" i="4"/>
  <c r="BB51" i="4"/>
  <c r="AS51" i="4"/>
  <c r="AR51" i="4"/>
  <c r="AL51" i="4"/>
  <c r="AC51" i="4"/>
  <c r="AD51" i="4" s="1"/>
  <c r="AB51" i="4"/>
  <c r="D51" i="4"/>
  <c r="C51" i="4"/>
  <c r="B51" i="4"/>
  <c r="BG50" i="4"/>
  <c r="BF50" i="4"/>
  <c r="BD50" i="4"/>
  <c r="BB50" i="4"/>
  <c r="AS50" i="4"/>
  <c r="AR50" i="4"/>
  <c r="AL50" i="4"/>
  <c r="AC50" i="4"/>
  <c r="AD50" i="4" s="1"/>
  <c r="AB50" i="4"/>
  <c r="D50" i="4"/>
  <c r="C50" i="4"/>
  <c r="B50" i="4"/>
  <c r="BG49" i="4"/>
  <c r="BF49" i="4"/>
  <c r="BD49" i="4"/>
  <c r="BB49" i="4"/>
  <c r="AS49" i="4"/>
  <c r="AR49" i="4"/>
  <c r="AL49" i="4"/>
  <c r="AC49" i="4"/>
  <c r="AD49" i="4" s="1"/>
  <c r="AB49" i="4"/>
  <c r="D49" i="4"/>
  <c r="C49" i="4"/>
  <c r="B49" i="4"/>
  <c r="BG48" i="4"/>
  <c r="BF48" i="4"/>
  <c r="BD48" i="4"/>
  <c r="BB48" i="4"/>
  <c r="AS48" i="4"/>
  <c r="AR48" i="4"/>
  <c r="AL48" i="4"/>
  <c r="AC48" i="4"/>
  <c r="AD48" i="4" s="1"/>
  <c r="AB48" i="4"/>
  <c r="D48" i="4"/>
  <c r="C48" i="4"/>
  <c r="B48" i="4"/>
  <c r="BG47" i="4"/>
  <c r="BF47" i="4"/>
  <c r="BD47" i="4"/>
  <c r="BB47" i="4"/>
  <c r="AS47" i="4"/>
  <c r="AR47" i="4"/>
  <c r="AL47" i="4"/>
  <c r="AC47" i="4"/>
  <c r="AD47" i="4" s="1"/>
  <c r="AB47" i="4"/>
  <c r="D47" i="4"/>
  <c r="C47" i="4"/>
  <c r="B47" i="4"/>
  <c r="BG46" i="4"/>
  <c r="BF46" i="4"/>
  <c r="BD46" i="4"/>
  <c r="BB46" i="4"/>
  <c r="AS46" i="4"/>
  <c r="AR46" i="4"/>
  <c r="AL46" i="4"/>
  <c r="AC46" i="4"/>
  <c r="AD46" i="4" s="1"/>
  <c r="AB46" i="4"/>
  <c r="D46" i="4"/>
  <c r="C46" i="4"/>
  <c r="B46" i="4"/>
  <c r="BG45" i="4"/>
  <c r="BF45" i="4"/>
  <c r="BD45" i="4"/>
  <c r="BB45" i="4"/>
  <c r="AS45" i="4"/>
  <c r="AR45" i="4"/>
  <c r="AL45" i="4"/>
  <c r="AC45" i="4"/>
  <c r="AD45" i="4" s="1"/>
  <c r="AB45" i="4"/>
  <c r="D45" i="4"/>
  <c r="C45" i="4"/>
  <c r="B45" i="4"/>
  <c r="BG44" i="4"/>
  <c r="BF44" i="4"/>
  <c r="BD44" i="4"/>
  <c r="BB44" i="4"/>
  <c r="AS44" i="4"/>
  <c r="AR44" i="4"/>
  <c r="AL44" i="4"/>
  <c r="AC44" i="4"/>
  <c r="AD44" i="4" s="1"/>
  <c r="AB44" i="4"/>
  <c r="D44" i="4"/>
  <c r="C44" i="4"/>
  <c r="B44" i="4"/>
  <c r="BG43" i="4"/>
  <c r="BF43" i="4"/>
  <c r="BD43" i="4"/>
  <c r="BB43" i="4"/>
  <c r="AS43" i="4"/>
  <c r="AR43" i="4"/>
  <c r="AL43" i="4"/>
  <c r="AC43" i="4"/>
  <c r="AD43" i="4" s="1"/>
  <c r="AB43" i="4"/>
  <c r="D43" i="4"/>
  <c r="C43" i="4"/>
  <c r="B43" i="4"/>
  <c r="BG42" i="4"/>
  <c r="BF42" i="4"/>
  <c r="BD42" i="4"/>
  <c r="BB42" i="4"/>
  <c r="AS42" i="4"/>
  <c r="AR42" i="4"/>
  <c r="AL42" i="4"/>
  <c r="AC42" i="4"/>
  <c r="AD42" i="4" s="1"/>
  <c r="AB42" i="4"/>
  <c r="D42" i="4"/>
  <c r="C42" i="4"/>
  <c r="B42" i="4"/>
  <c r="BG41" i="4"/>
  <c r="BF41" i="4"/>
  <c r="BD41" i="4"/>
  <c r="BB41" i="4"/>
  <c r="AS41" i="4"/>
  <c r="AR41" i="4"/>
  <c r="AL41" i="4"/>
  <c r="AC41" i="4"/>
  <c r="AD41" i="4" s="1"/>
  <c r="AB41" i="4"/>
  <c r="D41" i="4"/>
  <c r="C41" i="4"/>
  <c r="B41" i="4"/>
  <c r="BG40" i="4"/>
  <c r="BF40" i="4"/>
  <c r="BD40" i="4"/>
  <c r="BB40" i="4"/>
  <c r="AS40" i="4"/>
  <c r="AR40" i="4"/>
  <c r="AL40" i="4"/>
  <c r="AC40" i="4"/>
  <c r="AD40" i="4" s="1"/>
  <c r="AB40" i="4"/>
  <c r="D40" i="4"/>
  <c r="C40" i="4"/>
  <c r="B40" i="4"/>
  <c r="BG39" i="4"/>
  <c r="BF39" i="4"/>
  <c r="BD39" i="4"/>
  <c r="BB39" i="4"/>
  <c r="AS39" i="4"/>
  <c r="AR39" i="4"/>
  <c r="AL39" i="4"/>
  <c r="AC39" i="4"/>
  <c r="AD39" i="4" s="1"/>
  <c r="AB39" i="4"/>
  <c r="D39" i="4"/>
  <c r="C39" i="4"/>
  <c r="B39" i="4"/>
  <c r="BG38" i="4"/>
  <c r="BF38" i="4"/>
  <c r="BD38" i="4"/>
  <c r="BB38" i="4"/>
  <c r="AS38" i="4"/>
  <c r="AR38" i="4"/>
  <c r="AL38" i="4"/>
  <c r="AC38" i="4"/>
  <c r="AD38" i="4" s="1"/>
  <c r="AB38" i="4"/>
  <c r="D38" i="4"/>
  <c r="C38" i="4"/>
  <c r="B38" i="4"/>
  <c r="BG37" i="4"/>
  <c r="BF37" i="4"/>
  <c r="BD37" i="4"/>
  <c r="BB37" i="4"/>
  <c r="AS37" i="4"/>
  <c r="AR37" i="4"/>
  <c r="AL37" i="4"/>
  <c r="AC37" i="4"/>
  <c r="AD37" i="4" s="1"/>
  <c r="AB37" i="4"/>
  <c r="D37" i="4"/>
  <c r="C37" i="4"/>
  <c r="B37" i="4"/>
  <c r="BG36" i="4"/>
  <c r="BF36" i="4"/>
  <c r="BD36" i="4"/>
  <c r="BB36" i="4"/>
  <c r="AS36" i="4"/>
  <c r="AR36" i="4"/>
  <c r="AL36" i="4"/>
  <c r="AC36" i="4"/>
  <c r="AD36" i="4" s="1"/>
  <c r="AB36" i="4"/>
  <c r="D36" i="4"/>
  <c r="C36" i="4"/>
  <c r="B36" i="4"/>
  <c r="BG35" i="4"/>
  <c r="BF35" i="4"/>
  <c r="BD35" i="4"/>
  <c r="BB35" i="4"/>
  <c r="AS35" i="4"/>
  <c r="AR35" i="4"/>
  <c r="AL35" i="4"/>
  <c r="AC35" i="4"/>
  <c r="AD35" i="4" s="1"/>
  <c r="AB35" i="4"/>
  <c r="D35" i="4"/>
  <c r="C35" i="4"/>
  <c r="B35" i="4"/>
  <c r="BG34" i="4"/>
  <c r="BF34" i="4"/>
  <c r="BD34" i="4"/>
  <c r="BB34" i="4"/>
  <c r="AS34" i="4"/>
  <c r="AR34" i="4"/>
  <c r="AL34" i="4"/>
  <c r="AC34" i="4"/>
  <c r="AD34" i="4" s="1"/>
  <c r="AB34" i="4"/>
  <c r="D34" i="4"/>
  <c r="C34" i="4"/>
  <c r="B34" i="4"/>
  <c r="BG33" i="4"/>
  <c r="BF33" i="4"/>
  <c r="BD33" i="4"/>
  <c r="BB33" i="4"/>
  <c r="AS33" i="4"/>
  <c r="AR33" i="4"/>
  <c r="AL33" i="4"/>
  <c r="AC33" i="4"/>
  <c r="AD33" i="4" s="1"/>
  <c r="AB33" i="4"/>
  <c r="D33" i="4"/>
  <c r="C33" i="4"/>
  <c r="B33" i="4"/>
  <c r="BG32" i="4"/>
  <c r="BF32" i="4"/>
  <c r="BD32" i="4"/>
  <c r="BB32" i="4"/>
  <c r="AS32" i="4"/>
  <c r="AR32" i="4"/>
  <c r="AL32" i="4"/>
  <c r="AC32" i="4"/>
  <c r="AD32" i="4" s="1"/>
  <c r="AB32" i="4"/>
  <c r="D32" i="4"/>
  <c r="C32" i="4"/>
  <c r="B32" i="4"/>
  <c r="BG31" i="4"/>
  <c r="BF31" i="4"/>
  <c r="BD31" i="4"/>
  <c r="BB31" i="4"/>
  <c r="AS31" i="4"/>
  <c r="AR31" i="4"/>
  <c r="AL31" i="4"/>
  <c r="AC31" i="4"/>
  <c r="AD31" i="4" s="1"/>
  <c r="AB31" i="4"/>
  <c r="D31" i="4"/>
  <c r="C31" i="4"/>
  <c r="B31" i="4"/>
  <c r="BG30" i="4"/>
  <c r="BF30" i="4"/>
  <c r="BD30" i="4"/>
  <c r="BB30" i="4"/>
  <c r="AS30" i="4"/>
  <c r="AR30" i="4"/>
  <c r="AL30" i="4"/>
  <c r="AC30" i="4"/>
  <c r="AD30" i="4" s="1"/>
  <c r="AB30" i="4"/>
  <c r="D30" i="4"/>
  <c r="C30" i="4"/>
  <c r="B30" i="4"/>
  <c r="BG29" i="4"/>
  <c r="BF29" i="4"/>
  <c r="BD29" i="4"/>
  <c r="BB29" i="4"/>
  <c r="AS29" i="4"/>
  <c r="AR29" i="4"/>
  <c r="AL29" i="4"/>
  <c r="AC29" i="4"/>
  <c r="AD29" i="4" s="1"/>
  <c r="AB29" i="4"/>
  <c r="D29" i="4"/>
  <c r="C29" i="4"/>
  <c r="B29" i="4"/>
  <c r="BG28" i="4"/>
  <c r="BF28" i="4"/>
  <c r="BD28" i="4"/>
  <c r="BB28" i="4"/>
  <c r="AL28" i="4"/>
  <c r="AD28" i="4"/>
  <c r="AC28" i="4"/>
  <c r="AB28" i="4"/>
  <c r="BG27" i="4"/>
  <c r="BF27" i="4"/>
  <c r="BD27" i="4"/>
  <c r="BB27" i="4"/>
  <c r="AS27" i="4"/>
  <c r="AR27" i="4"/>
  <c r="AL27" i="4"/>
  <c r="AC27" i="4"/>
  <c r="AD27" i="4" s="1"/>
  <c r="AB27" i="4"/>
  <c r="D27" i="4"/>
  <c r="C27" i="4"/>
  <c r="B27" i="4"/>
  <c r="BG26" i="4"/>
  <c r="BF26" i="4"/>
  <c r="BD26" i="4"/>
  <c r="BB26" i="4"/>
  <c r="AS26" i="4"/>
  <c r="AR26" i="4"/>
  <c r="AL26" i="4"/>
  <c r="AC26" i="4"/>
  <c r="AD26" i="4" s="1"/>
  <c r="AB26" i="4"/>
  <c r="D26" i="4"/>
  <c r="C26" i="4"/>
  <c r="B26" i="4"/>
  <c r="BG25" i="4"/>
  <c r="BF25" i="4"/>
  <c r="BD25" i="4"/>
  <c r="BB25" i="4"/>
  <c r="AS25" i="4"/>
  <c r="AR25" i="4"/>
  <c r="AL25" i="4"/>
  <c r="AC25" i="4"/>
  <c r="AD25" i="4" s="1"/>
  <c r="AB25" i="4"/>
  <c r="D25" i="4"/>
  <c r="C25" i="4"/>
  <c r="B25" i="4"/>
  <c r="BG24" i="4"/>
  <c r="BF24" i="4"/>
  <c r="BD24" i="4"/>
  <c r="BB24" i="4"/>
  <c r="AS24" i="4"/>
  <c r="AR24" i="4"/>
  <c r="AL24" i="4"/>
  <c r="AC24" i="4"/>
  <c r="AD24" i="4" s="1"/>
  <c r="AB24" i="4"/>
  <c r="D24" i="4"/>
  <c r="C24" i="4"/>
  <c r="B24" i="4"/>
  <c r="BG23" i="4"/>
  <c r="BF23" i="4"/>
  <c r="BD23" i="4"/>
  <c r="BB23" i="4"/>
  <c r="AS23" i="4"/>
  <c r="AR23" i="4"/>
  <c r="AL23" i="4"/>
  <c r="AC23" i="4"/>
  <c r="AD23" i="4" s="1"/>
  <c r="AB23" i="4"/>
  <c r="D23" i="4"/>
  <c r="C23" i="4"/>
  <c r="B23" i="4"/>
  <c r="BG22" i="4"/>
  <c r="BF22" i="4"/>
  <c r="BD22" i="4"/>
  <c r="BB22" i="4"/>
  <c r="AS22" i="4"/>
  <c r="AR22" i="4"/>
  <c r="AL22" i="4"/>
  <c r="AC22" i="4"/>
  <c r="AD22" i="4" s="1"/>
  <c r="AB22" i="4"/>
  <c r="D22" i="4"/>
  <c r="C22" i="4"/>
  <c r="B22" i="4"/>
  <c r="BG21" i="4"/>
  <c r="BF21" i="4"/>
  <c r="BD21" i="4"/>
  <c r="BB21" i="4"/>
  <c r="AS21" i="4"/>
  <c r="AR21" i="4"/>
  <c r="AL21" i="4"/>
  <c r="AC21" i="4"/>
  <c r="AD21" i="4" s="1"/>
  <c r="AB21" i="4"/>
  <c r="D21" i="4"/>
  <c r="C21" i="4"/>
  <c r="B21" i="4"/>
  <c r="BG20" i="4"/>
  <c r="BF20" i="4"/>
  <c r="BD20" i="4"/>
  <c r="BB20" i="4"/>
  <c r="AS20" i="4"/>
  <c r="AR20" i="4"/>
  <c r="AL20" i="4"/>
  <c r="AC20" i="4"/>
  <c r="AD20" i="4" s="1"/>
  <c r="AB20" i="4"/>
  <c r="D20" i="4"/>
  <c r="C20" i="4"/>
  <c r="B20" i="4"/>
  <c r="BG19" i="4"/>
  <c r="BF19" i="4"/>
  <c r="BD19" i="4"/>
  <c r="BB19" i="4"/>
  <c r="AS19" i="4"/>
  <c r="AR19" i="4"/>
  <c r="AL19" i="4"/>
  <c r="AC19" i="4"/>
  <c r="AD19" i="4" s="1"/>
  <c r="AB19" i="4"/>
  <c r="D19" i="4"/>
  <c r="C19" i="4"/>
  <c r="B19" i="4"/>
  <c r="BG18" i="4"/>
  <c r="BF18" i="4"/>
  <c r="BD18" i="4"/>
  <c r="BB18" i="4"/>
  <c r="AS18" i="4"/>
  <c r="AR18" i="4"/>
  <c r="AL18" i="4"/>
  <c r="AC18" i="4"/>
  <c r="AD18" i="4" s="1"/>
  <c r="AB18" i="4"/>
  <c r="D18" i="4"/>
  <c r="C18" i="4"/>
  <c r="B18" i="4"/>
  <c r="BG17" i="4"/>
  <c r="BF17" i="4"/>
  <c r="BD17" i="4"/>
  <c r="BB17" i="4"/>
  <c r="AS17" i="4"/>
  <c r="AR17" i="4"/>
  <c r="AL17" i="4"/>
  <c r="AC17" i="4"/>
  <c r="AD17" i="4" s="1"/>
  <c r="AB17" i="4"/>
  <c r="D17" i="4"/>
  <c r="C17" i="4"/>
  <c r="B17" i="4"/>
  <c r="BG16" i="4"/>
  <c r="BF16" i="4"/>
  <c r="BD16" i="4"/>
  <c r="BB16" i="4"/>
  <c r="AS16" i="4"/>
  <c r="AR16" i="4"/>
  <c r="AL16" i="4"/>
  <c r="AC16" i="4"/>
  <c r="AD16" i="4" s="1"/>
  <c r="AB16" i="4"/>
  <c r="D16" i="4"/>
  <c r="C16" i="4"/>
  <c r="B16" i="4"/>
  <c r="BG15" i="4"/>
  <c r="BF15" i="4"/>
  <c r="BD15" i="4"/>
  <c r="BB15" i="4"/>
  <c r="AS15" i="4"/>
  <c r="AR15" i="4"/>
  <c r="AL15" i="4"/>
  <c r="AC15" i="4"/>
  <c r="AD15" i="4" s="1"/>
  <c r="AB15" i="4"/>
  <c r="D15" i="4"/>
  <c r="C15" i="4"/>
  <c r="B15" i="4"/>
  <c r="BG14" i="4"/>
  <c r="BF14" i="4"/>
  <c r="BD14" i="4"/>
  <c r="BB14" i="4"/>
  <c r="AS14" i="4"/>
  <c r="AR14" i="4"/>
  <c r="AL14" i="4"/>
  <c r="AC14" i="4"/>
  <c r="AD14" i="4" s="1"/>
  <c r="AB14" i="4"/>
  <c r="D14" i="4"/>
  <c r="C14" i="4"/>
  <c r="B14" i="4"/>
  <c r="BG13" i="4"/>
  <c r="BF13" i="4"/>
  <c r="BD13" i="4"/>
  <c r="BB13" i="4"/>
  <c r="AS13" i="4"/>
  <c r="AR13" i="4"/>
  <c r="AL13" i="4"/>
  <c r="AC13" i="4"/>
  <c r="AD13" i="4" s="1"/>
  <c r="AB13" i="4"/>
  <c r="D13" i="4"/>
  <c r="C13" i="4"/>
  <c r="B13" i="4"/>
  <c r="BG12" i="4"/>
  <c r="BF12" i="4"/>
  <c r="BD12" i="4"/>
  <c r="BB12" i="4"/>
  <c r="AS12" i="4"/>
  <c r="AR12" i="4"/>
  <c r="AL12" i="4"/>
  <c r="AC12" i="4"/>
  <c r="AD12" i="4" s="1"/>
  <c r="AB12" i="4"/>
  <c r="D12" i="4"/>
  <c r="C12" i="4"/>
  <c r="B12" i="4"/>
  <c r="BG11" i="4"/>
  <c r="BF11" i="4"/>
  <c r="BD11" i="4"/>
  <c r="BB11" i="4"/>
  <c r="AS11" i="4"/>
  <c r="AR11" i="4"/>
  <c r="AL11" i="4"/>
  <c r="AC11" i="4"/>
  <c r="AD11" i="4" s="1"/>
  <c r="AB11" i="4"/>
  <c r="D11" i="4"/>
  <c r="C11" i="4"/>
  <c r="B11" i="4"/>
  <c r="BG10" i="4"/>
  <c r="BF10" i="4"/>
  <c r="BD10" i="4"/>
  <c r="BB10" i="4"/>
  <c r="AS10" i="4"/>
  <c r="AR10" i="4"/>
  <c r="AL10" i="4"/>
  <c r="AC10" i="4"/>
  <c r="AD10" i="4" s="1"/>
  <c r="AB10" i="4"/>
  <c r="D10" i="4"/>
  <c r="C10" i="4"/>
  <c r="B10" i="4"/>
  <c r="BG9" i="4"/>
  <c r="BF9" i="4"/>
  <c r="BD9" i="4"/>
  <c r="BB9" i="4"/>
  <c r="AS9" i="4"/>
  <c r="AR9" i="4"/>
  <c r="AL9" i="4"/>
  <c r="AC9" i="4"/>
  <c r="AD9" i="4" s="1"/>
  <c r="AB9" i="4"/>
  <c r="D9" i="4"/>
  <c r="C9" i="4"/>
  <c r="B9" i="4"/>
  <c r="BG8" i="4"/>
  <c r="BF8" i="4"/>
  <c r="BD8" i="4"/>
  <c r="BB8" i="4"/>
  <c r="AS8" i="4"/>
  <c r="AS6" i="4" s="1"/>
  <c r="AR8" i="4"/>
  <c r="AR6" i="4" s="1"/>
  <c r="AL8" i="4"/>
  <c r="AC8" i="4"/>
  <c r="AB8" i="4"/>
  <c r="AB6" i="4" s="1"/>
  <c r="D8" i="4"/>
  <c r="C8" i="4"/>
  <c r="B8" i="4"/>
  <c r="AV6" i="4"/>
  <c r="AU6" i="4"/>
  <c r="AT6" i="4"/>
  <c r="AN6" i="4"/>
  <c r="AM6" i="4"/>
  <c r="AC6" i="4"/>
  <c r="AA6" i="4"/>
  <c r="Z6" i="4"/>
  <c r="Y6" i="4"/>
  <c r="X6" i="4"/>
  <c r="W6" i="4"/>
  <c r="Q6" i="4"/>
  <c r="M6" i="4"/>
  <c r="G34" i="5"/>
  <c r="G33" i="5"/>
  <c r="G32" i="5"/>
  <c r="G31" i="5"/>
  <c r="G30" i="5"/>
  <c r="G29" i="5"/>
  <c r="G28" i="5"/>
  <c r="G27" i="5"/>
  <c r="G26" i="5"/>
  <c r="AE21" i="5"/>
  <c r="R21" i="5"/>
  <c r="AE20" i="5"/>
  <c r="Y20" i="5"/>
  <c r="X20" i="5"/>
  <c r="R20" i="5"/>
  <c r="AE19" i="5"/>
  <c r="Y19" i="5"/>
  <c r="X19" i="5"/>
  <c r="R19" i="5"/>
  <c r="AE18" i="5"/>
  <c r="Y18" i="5"/>
  <c r="X18" i="5"/>
  <c r="R18" i="5"/>
  <c r="AE17" i="5"/>
  <c r="Y17" i="5"/>
  <c r="X17" i="5"/>
  <c r="R17" i="5"/>
  <c r="AE16" i="5"/>
  <c r="Y16" i="5"/>
  <c r="X16" i="5"/>
  <c r="R16" i="5"/>
  <c r="AE15" i="5"/>
  <c r="Y15" i="5"/>
  <c r="X15" i="5"/>
  <c r="R15" i="5"/>
  <c r="AE14" i="5"/>
  <c r="Y14" i="5"/>
  <c r="X14" i="5"/>
  <c r="R14" i="5"/>
  <c r="AE13" i="5"/>
  <c r="Y13" i="5"/>
  <c r="X13" i="5"/>
  <c r="R13" i="5"/>
  <c r="AE12" i="5"/>
  <c r="Y12" i="5"/>
  <c r="X12" i="5"/>
  <c r="R12" i="5"/>
  <c r="AE11" i="5"/>
  <c r="Y11" i="5"/>
  <c r="X11" i="5"/>
  <c r="R11" i="5"/>
  <c r="AE10" i="5"/>
  <c r="Y10" i="5"/>
  <c r="X10" i="5"/>
  <c r="R10" i="5"/>
  <c r="AE9" i="5"/>
  <c r="Y9" i="5"/>
  <c r="X9" i="5"/>
  <c r="R9" i="5"/>
  <c r="AE8" i="5"/>
  <c r="Y8" i="5"/>
  <c r="X8" i="5"/>
  <c r="R8" i="5"/>
  <c r="AE7" i="5"/>
  <c r="Y7" i="5"/>
  <c r="X7" i="5"/>
  <c r="R7" i="5"/>
  <c r="AE6" i="5"/>
  <c r="Y6" i="5"/>
  <c r="X6" i="5"/>
  <c r="R6" i="5"/>
  <c r="AE5" i="5"/>
  <c r="Y5" i="5"/>
  <c r="X5" i="5"/>
  <c r="R5" i="5"/>
  <c r="AE4" i="5"/>
  <c r="Y4" i="5"/>
  <c r="X4" i="5"/>
  <c r="R4" i="5"/>
  <c r="AE3" i="5"/>
  <c r="Y3" i="5"/>
  <c r="X3" i="5"/>
  <c r="R3" i="5"/>
  <c r="AA131" i="1" l="1"/>
  <c r="AA132" i="1"/>
  <c r="AA133" i="1"/>
  <c r="W44" i="2"/>
  <c r="W42" i="2"/>
  <c r="AA38" i="1"/>
  <c r="AA204" i="1"/>
  <c r="AA188" i="1"/>
  <c r="AA172" i="1"/>
  <c r="AA156" i="1"/>
  <c r="AA140" i="1"/>
  <c r="AA124" i="1"/>
  <c r="AA108" i="1"/>
  <c r="AA92" i="1"/>
  <c r="AA76" i="1"/>
  <c r="AA60" i="1"/>
  <c r="AA44" i="1"/>
  <c r="AA28" i="1"/>
  <c r="AA12" i="1"/>
  <c r="AA201" i="1"/>
  <c r="AA185" i="1"/>
  <c r="AA169" i="1"/>
  <c r="AA153" i="1"/>
  <c r="AA137" i="1"/>
  <c r="AA121" i="1"/>
  <c r="AA105" i="1"/>
  <c r="AA89" i="1"/>
  <c r="AA73" i="1"/>
  <c r="AA57" i="1"/>
  <c r="AA41" i="1"/>
  <c r="AA25" i="1"/>
  <c r="AA9" i="1"/>
  <c r="AO39" i="4"/>
  <c r="AP39" i="4" s="1"/>
  <c r="AQ39" i="4" s="1"/>
  <c r="AO42" i="4"/>
  <c r="AP42" i="4" s="1"/>
  <c r="AQ42" i="4" s="1"/>
  <c r="AO82" i="4"/>
  <c r="AP82" i="4" s="1"/>
  <c r="AQ82" i="4" s="1"/>
  <c r="AO98" i="4"/>
  <c r="AP98" i="4" s="1"/>
  <c r="AQ98" i="4" s="1"/>
  <c r="AO78" i="4"/>
  <c r="AP78" i="4" s="1"/>
  <c r="AQ78" i="4" s="1"/>
  <c r="AO41" i="4"/>
  <c r="AP41" i="4" s="1"/>
  <c r="AQ41" i="4" s="1"/>
  <c r="AO49" i="4"/>
  <c r="AP49" i="4" s="1"/>
  <c r="AQ49" i="4" s="1"/>
  <c r="AO97" i="4"/>
  <c r="AP97" i="4" s="1"/>
  <c r="AQ97" i="4" s="1"/>
  <c r="AO113" i="4"/>
  <c r="AP113" i="4" s="1"/>
  <c r="AQ113" i="4" s="1"/>
  <c r="AO133" i="4"/>
  <c r="AP133" i="4" s="1"/>
  <c r="AQ133" i="4" s="1"/>
  <c r="AO137" i="4"/>
  <c r="AP137" i="4" s="1"/>
  <c r="AQ137" i="4" s="1"/>
  <c r="AO145" i="4"/>
  <c r="AP145" i="4" s="1"/>
  <c r="AQ145" i="4" s="1"/>
  <c r="AO161" i="4"/>
  <c r="AP161" i="4" s="1"/>
  <c r="AQ161" i="4" s="1"/>
  <c r="AO45" i="4"/>
  <c r="AP45" i="4" s="1"/>
  <c r="AQ45" i="4" s="1"/>
  <c r="AO53" i="4"/>
  <c r="AP53" i="4" s="1"/>
  <c r="AQ53" i="4" s="1"/>
  <c r="AO81" i="4"/>
  <c r="AP81" i="4" s="1"/>
  <c r="AQ81" i="4" s="1"/>
  <c r="AO129" i="4"/>
  <c r="AP129" i="4" s="1"/>
  <c r="AQ129" i="4" s="1"/>
  <c r="AO153" i="4"/>
  <c r="AP153" i="4" s="1"/>
  <c r="AQ153" i="4" s="1"/>
  <c r="AF207" i="2"/>
  <c r="AE207" i="2"/>
  <c r="AD207" i="2"/>
  <c r="AB207" i="2"/>
  <c r="G207" i="2" a="1"/>
  <c r="G207" i="2" s="1"/>
  <c r="AA207" i="2"/>
  <c r="Q207" i="2"/>
  <c r="P207" i="2"/>
  <c r="O207" i="2"/>
  <c r="N207" i="2"/>
  <c r="J207" i="2"/>
  <c r="M207" i="2"/>
  <c r="AO114" i="4"/>
  <c r="AP114" i="4" s="1"/>
  <c r="AQ114" i="4" s="1"/>
  <c r="AO146" i="4"/>
  <c r="AP146" i="4" s="1"/>
  <c r="AQ146" i="4" s="1"/>
  <c r="AO158" i="4"/>
  <c r="AP158" i="4" s="1"/>
  <c r="AQ158" i="4" s="1"/>
  <c r="AO182" i="4"/>
  <c r="AP182" i="4" s="1"/>
  <c r="AQ182" i="4" s="1"/>
  <c r="AO190" i="4"/>
  <c r="AP190" i="4" s="1"/>
  <c r="AQ190" i="4" s="1"/>
  <c r="AO48" i="4"/>
  <c r="AP48" i="4" s="1"/>
  <c r="AQ48" i="4" s="1"/>
  <c r="AO40" i="4"/>
  <c r="AP40" i="4" s="1"/>
  <c r="AQ40" i="4" s="1"/>
  <c r="AO72" i="4"/>
  <c r="AP72" i="4" s="1"/>
  <c r="AQ72" i="4" s="1"/>
  <c r="AO180" i="4"/>
  <c r="AP180" i="4" s="1"/>
  <c r="AQ180" i="4" s="1"/>
  <c r="AO47" i="4"/>
  <c r="AP47" i="4" s="1"/>
  <c r="AQ47" i="4" s="1"/>
  <c r="AO55" i="4"/>
  <c r="AP55" i="4" s="1"/>
  <c r="AQ55" i="4" s="1"/>
  <c r="AO71" i="4"/>
  <c r="AP71" i="4" s="1"/>
  <c r="AQ71" i="4" s="1"/>
  <c r="AO43" i="4"/>
  <c r="AP43" i="4" s="1"/>
  <c r="AQ43" i="4" s="1"/>
  <c r="AO51" i="4"/>
  <c r="AP51" i="4" s="1"/>
  <c r="AQ51" i="4" s="1"/>
  <c r="AO63" i="4"/>
  <c r="AP63" i="4" s="1"/>
  <c r="AQ63" i="4" s="1"/>
  <c r="AO75" i="4"/>
  <c r="AP75" i="4" s="1"/>
  <c r="AQ75" i="4" s="1"/>
  <c r="AO163" i="4"/>
  <c r="AP163" i="4" s="1"/>
  <c r="AQ163" i="4" s="1"/>
  <c r="AO167" i="4"/>
  <c r="AP167" i="4" s="1"/>
  <c r="AQ167" i="4" s="1"/>
  <c r="AO171" i="4"/>
  <c r="AP171" i="4" s="1"/>
  <c r="AQ171" i="4" s="1"/>
  <c r="AO175" i="4"/>
  <c r="AP175" i="4" s="1"/>
  <c r="AQ175" i="4" s="1"/>
  <c r="AO179" i="4"/>
  <c r="AP179" i="4" s="1"/>
  <c r="AQ179" i="4" s="1"/>
  <c r="AO191" i="4"/>
  <c r="AP191" i="4" s="1"/>
  <c r="AQ191" i="4" s="1"/>
  <c r="AO150" i="4"/>
  <c r="AP150" i="4" s="1"/>
  <c r="AQ150" i="4" s="1"/>
  <c r="U207" i="2"/>
  <c r="W207" i="2"/>
  <c r="V207" i="2"/>
  <c r="AO36" i="4"/>
  <c r="AP36" i="4" s="1"/>
  <c r="AQ36" i="4" s="1"/>
  <c r="AO52" i="4"/>
  <c r="AP52" i="4" s="1"/>
  <c r="AQ52" i="4" s="1"/>
  <c r="AO57" i="4"/>
  <c r="AP57" i="4" s="1"/>
  <c r="AQ57" i="4" s="1"/>
  <c r="AO183" i="4"/>
  <c r="AP183" i="4" s="1"/>
  <c r="AQ183" i="4" s="1"/>
  <c r="AO30" i="4"/>
  <c r="AP30" i="4" s="1"/>
  <c r="AQ30" i="4" s="1"/>
  <c r="AO69" i="4"/>
  <c r="AP69" i="4" s="1"/>
  <c r="AQ69" i="4" s="1"/>
  <c r="AO9" i="4"/>
  <c r="AP9" i="4" s="1"/>
  <c r="AQ9" i="4" s="1"/>
  <c r="AO12" i="4"/>
  <c r="AP12" i="4" s="1"/>
  <c r="AQ12" i="4" s="1"/>
  <c r="AO16" i="4"/>
  <c r="AP16" i="4" s="1"/>
  <c r="AQ16" i="4" s="1"/>
  <c r="AO24" i="4"/>
  <c r="AP24" i="4" s="1"/>
  <c r="AQ24" i="4" s="1"/>
  <c r="AO28" i="4"/>
  <c r="AP28" i="4" s="1"/>
  <c r="AQ28" i="4" s="1"/>
  <c r="AO20" i="4"/>
  <c r="AP20" i="4" s="1"/>
  <c r="AQ20" i="4" s="1"/>
  <c r="AO56" i="4"/>
  <c r="AP56" i="4" s="1"/>
  <c r="AQ56" i="4" s="1"/>
  <c r="AO60" i="4"/>
  <c r="AP60" i="4" s="1"/>
  <c r="AQ60" i="4" s="1"/>
  <c r="AL6" i="4"/>
  <c r="AO31" i="4"/>
  <c r="AP31" i="4" s="1"/>
  <c r="AQ31" i="4" s="1"/>
  <c r="AO35" i="4"/>
  <c r="AP35" i="4" s="1"/>
  <c r="AQ35" i="4" s="1"/>
  <c r="AO64" i="4"/>
  <c r="AP64" i="4" s="1"/>
  <c r="AQ64" i="4" s="1"/>
  <c r="AO68" i="4"/>
  <c r="AP68" i="4" s="1"/>
  <c r="AQ68" i="4" s="1"/>
  <c r="AO11" i="4"/>
  <c r="AP11" i="4" s="1"/>
  <c r="AQ11" i="4" s="1"/>
  <c r="AO15" i="4"/>
  <c r="AP15" i="4" s="1"/>
  <c r="AQ15" i="4" s="1"/>
  <c r="AO23" i="4"/>
  <c r="AP23" i="4" s="1"/>
  <c r="AQ23" i="4" s="1"/>
  <c r="AO44" i="4"/>
  <c r="AP44" i="4" s="1"/>
  <c r="AQ44" i="4" s="1"/>
  <c r="AO65" i="4"/>
  <c r="AP65" i="4" s="1"/>
  <c r="AQ65" i="4" s="1"/>
  <c r="AO19" i="4"/>
  <c r="AP19" i="4" s="1"/>
  <c r="AQ19" i="4" s="1"/>
  <c r="AO27" i="4"/>
  <c r="AP27" i="4" s="1"/>
  <c r="AQ27" i="4" s="1"/>
  <c r="AO59" i="4"/>
  <c r="AP59" i="4" s="1"/>
  <c r="AQ59" i="4" s="1"/>
  <c r="AO34" i="4"/>
  <c r="AP34" i="4" s="1"/>
  <c r="AQ34" i="4" s="1"/>
  <c r="AO38" i="4"/>
  <c r="AP38" i="4" s="1"/>
  <c r="AQ38" i="4" s="1"/>
  <c r="AO67" i="4"/>
  <c r="AP67" i="4" s="1"/>
  <c r="AQ67" i="4" s="1"/>
  <c r="AO50" i="4"/>
  <c r="AP50" i="4" s="1"/>
  <c r="AQ50" i="4" s="1"/>
  <c r="AO54" i="4"/>
  <c r="AP54" i="4" s="1"/>
  <c r="AQ54" i="4" s="1"/>
  <c r="AO91" i="4"/>
  <c r="AP91" i="4" s="1"/>
  <c r="AQ91" i="4" s="1"/>
  <c r="AO107" i="4"/>
  <c r="AP107" i="4" s="1"/>
  <c r="AQ107" i="4" s="1"/>
  <c r="AO123" i="4"/>
  <c r="AP123" i="4" s="1"/>
  <c r="AQ123" i="4" s="1"/>
  <c r="AO99" i="4"/>
  <c r="AP99" i="4" s="1"/>
  <c r="AQ99" i="4" s="1"/>
  <c r="AO115" i="4"/>
  <c r="AP115" i="4" s="1"/>
  <c r="AQ115" i="4" s="1"/>
  <c r="AP10" i="4"/>
  <c r="AQ10" i="4" s="1"/>
  <c r="AO22" i="4"/>
  <c r="AP22" i="4" s="1"/>
  <c r="AQ22" i="4" s="1"/>
  <c r="AO62" i="4"/>
  <c r="AP62" i="4" s="1"/>
  <c r="AQ62" i="4" s="1"/>
  <c r="AO83" i="4"/>
  <c r="AP83" i="4" s="1"/>
  <c r="AQ83" i="4" s="1"/>
  <c r="AO111" i="4"/>
  <c r="AP111" i="4" s="1"/>
  <c r="AQ111" i="4" s="1"/>
  <c r="AO14" i="4"/>
  <c r="AP14" i="4" s="1"/>
  <c r="AQ14" i="4" s="1"/>
  <c r="AO18" i="4"/>
  <c r="AP18" i="4" s="1"/>
  <c r="AQ18" i="4" s="1"/>
  <c r="AO26" i="4"/>
  <c r="AP26" i="4" s="1"/>
  <c r="AQ26" i="4" s="1"/>
  <c r="AO58" i="4"/>
  <c r="AP58" i="4" s="1"/>
  <c r="AQ58" i="4" s="1"/>
  <c r="AO29" i="4"/>
  <c r="AP29" i="4" s="1"/>
  <c r="AQ29" i="4" s="1"/>
  <c r="AO33" i="4"/>
  <c r="AP33" i="4" s="1"/>
  <c r="AQ33" i="4" s="1"/>
  <c r="AO37" i="4"/>
  <c r="AP37" i="4" s="1"/>
  <c r="AQ37" i="4" s="1"/>
  <c r="AO66" i="4"/>
  <c r="AP66" i="4" s="1"/>
  <c r="AQ66" i="4" s="1"/>
  <c r="AO70" i="4"/>
  <c r="AP70" i="4" s="1"/>
  <c r="AQ70" i="4" s="1"/>
  <c r="AO13" i="4"/>
  <c r="AP13" i="4" s="1"/>
  <c r="AQ13" i="4" s="1"/>
  <c r="AO17" i="4"/>
  <c r="AP17" i="4" s="1"/>
  <c r="AQ17" i="4" s="1"/>
  <c r="AO21" i="4"/>
  <c r="AP21" i="4" s="1"/>
  <c r="AQ21" i="4" s="1"/>
  <c r="Z207" i="2" s="1"/>
  <c r="AO25" i="4"/>
  <c r="AP25" i="4" s="1"/>
  <c r="AQ25" i="4" s="1"/>
  <c r="AO32" i="4"/>
  <c r="AP32" i="4" s="1"/>
  <c r="AQ32" i="4" s="1"/>
  <c r="AO46" i="4"/>
  <c r="AP46" i="4" s="1"/>
  <c r="AQ46" i="4" s="1"/>
  <c r="AO61" i="4"/>
  <c r="AP61" i="4" s="1"/>
  <c r="AQ61" i="4" s="1"/>
  <c r="Y207" i="2"/>
  <c r="H207" i="2"/>
  <c r="X207" i="2"/>
  <c r="D207" i="2"/>
  <c r="C207" i="2"/>
  <c r="R207" i="2"/>
  <c r="AD6" i="4"/>
  <c r="AO87" i="4"/>
  <c r="AP87" i="4" s="1"/>
  <c r="AQ87" i="4" s="1"/>
  <c r="AO103" i="4"/>
  <c r="AP103" i="4" s="1"/>
  <c r="AQ103" i="4" s="1"/>
  <c r="AO119" i="4"/>
  <c r="AP119" i="4" s="1"/>
  <c r="AQ119" i="4" s="1"/>
  <c r="AO206" i="4"/>
  <c r="AP206" i="4" s="1"/>
  <c r="AQ206" i="4" s="1"/>
  <c r="AO76" i="4"/>
  <c r="AP76" i="4" s="1"/>
  <c r="AQ76" i="4" s="1"/>
  <c r="AO92" i="4"/>
  <c r="AP92" i="4" s="1"/>
  <c r="AQ92" i="4" s="1"/>
  <c r="AO108" i="4"/>
  <c r="AP108" i="4" s="1"/>
  <c r="AQ108" i="4" s="1"/>
  <c r="AO124" i="4"/>
  <c r="AP124" i="4" s="1"/>
  <c r="AQ124" i="4" s="1"/>
  <c r="AO141" i="4"/>
  <c r="AP141" i="4" s="1"/>
  <c r="AQ141" i="4" s="1"/>
  <c r="AO154" i="4"/>
  <c r="AP154" i="4" s="1"/>
  <c r="AQ154" i="4" s="1"/>
  <c r="AO184" i="4"/>
  <c r="AP184" i="4" s="1"/>
  <c r="AQ184" i="4" s="1"/>
  <c r="AO128" i="4"/>
  <c r="AP128" i="4" s="1"/>
  <c r="AQ128" i="4" s="1"/>
  <c r="AO86" i="4"/>
  <c r="AP86" i="4" s="1"/>
  <c r="AQ86" i="4" s="1"/>
  <c r="AO102" i="4"/>
  <c r="AP102" i="4" s="1"/>
  <c r="AQ102" i="4" s="1"/>
  <c r="AO118" i="4"/>
  <c r="AP118" i="4" s="1"/>
  <c r="AQ118" i="4" s="1"/>
  <c r="AO132" i="4"/>
  <c r="AP132" i="4" s="1"/>
  <c r="AQ132" i="4" s="1"/>
  <c r="AO149" i="4"/>
  <c r="AP149" i="4" s="1"/>
  <c r="AQ149" i="4" s="1"/>
  <c r="AO162" i="4"/>
  <c r="AP162" i="4" s="1"/>
  <c r="AQ162" i="4" s="1"/>
  <c r="AO166" i="4"/>
  <c r="AP166" i="4" s="1"/>
  <c r="AQ166" i="4" s="1"/>
  <c r="AO136" i="4"/>
  <c r="AP136" i="4" s="1"/>
  <c r="AQ136" i="4" s="1"/>
  <c r="AO80" i="4"/>
  <c r="AP80" i="4" s="1"/>
  <c r="AQ80" i="4" s="1"/>
  <c r="AO96" i="4"/>
  <c r="AP96" i="4" s="1"/>
  <c r="AQ96" i="4" s="1"/>
  <c r="AO112" i="4"/>
  <c r="AP112" i="4" s="1"/>
  <c r="AQ112" i="4" s="1"/>
  <c r="AO127" i="4"/>
  <c r="AP127" i="4" s="1"/>
  <c r="AQ127" i="4" s="1"/>
  <c r="AO140" i="4"/>
  <c r="AP140" i="4" s="1"/>
  <c r="AQ140" i="4" s="1"/>
  <c r="AO157" i="4"/>
  <c r="AP157" i="4" s="1"/>
  <c r="AQ157" i="4" s="1"/>
  <c r="AO170" i="4"/>
  <c r="AP170" i="4" s="1"/>
  <c r="AQ170" i="4" s="1"/>
  <c r="AO174" i="4"/>
  <c r="AP174" i="4" s="1"/>
  <c r="AQ174" i="4" s="1"/>
  <c r="AO85" i="4"/>
  <c r="AP85" i="4" s="1"/>
  <c r="AQ85" i="4" s="1"/>
  <c r="AO101" i="4"/>
  <c r="AP101" i="4" s="1"/>
  <c r="AQ101" i="4" s="1"/>
  <c r="AO117" i="4"/>
  <c r="AP117" i="4" s="1"/>
  <c r="AQ117" i="4" s="1"/>
  <c r="AO144" i="4"/>
  <c r="AP144" i="4" s="1"/>
  <c r="AQ144" i="4" s="1"/>
  <c r="AO74" i="4"/>
  <c r="AP74" i="4" s="1"/>
  <c r="AQ74" i="4" s="1"/>
  <c r="AO90" i="4"/>
  <c r="AP90" i="4" s="1"/>
  <c r="AQ90" i="4" s="1"/>
  <c r="AO106" i="4"/>
  <c r="AP106" i="4" s="1"/>
  <c r="AQ106" i="4" s="1"/>
  <c r="AO122" i="4"/>
  <c r="AP122" i="4" s="1"/>
  <c r="AQ122" i="4" s="1"/>
  <c r="AO131" i="4"/>
  <c r="AP131" i="4" s="1"/>
  <c r="AQ131" i="4" s="1"/>
  <c r="AO135" i="4"/>
  <c r="AP135" i="4" s="1"/>
  <c r="AQ135" i="4" s="1"/>
  <c r="AO148" i="4"/>
  <c r="AP148" i="4" s="1"/>
  <c r="AQ148" i="4" s="1"/>
  <c r="AO165" i="4"/>
  <c r="AP165" i="4" s="1"/>
  <c r="AQ165" i="4" s="1"/>
  <c r="AO178" i="4"/>
  <c r="AP178" i="4" s="1"/>
  <c r="AQ178" i="4" s="1"/>
  <c r="AO200" i="4"/>
  <c r="AP200" i="4" s="1"/>
  <c r="AQ200" i="4" s="1"/>
  <c r="AO79" i="4"/>
  <c r="AP79" i="4" s="1"/>
  <c r="AQ79" i="4" s="1"/>
  <c r="AO95" i="4"/>
  <c r="AP95" i="4" s="1"/>
  <c r="AQ95" i="4" s="1"/>
  <c r="AO152" i="4"/>
  <c r="AP152" i="4" s="1"/>
  <c r="AQ152" i="4" s="1"/>
  <c r="AO84" i="4"/>
  <c r="AP84" i="4" s="1"/>
  <c r="AQ84" i="4" s="1"/>
  <c r="AO100" i="4"/>
  <c r="AP100" i="4" s="1"/>
  <c r="AQ100" i="4" s="1"/>
  <c r="AO116" i="4"/>
  <c r="AP116" i="4" s="1"/>
  <c r="AQ116" i="4" s="1"/>
  <c r="AO126" i="4"/>
  <c r="AP126" i="4" s="1"/>
  <c r="AQ126" i="4" s="1"/>
  <c r="AO139" i="4"/>
  <c r="AP139" i="4" s="1"/>
  <c r="AQ139" i="4" s="1"/>
  <c r="AO143" i="4"/>
  <c r="AP143" i="4" s="1"/>
  <c r="AQ143" i="4" s="1"/>
  <c r="AO156" i="4"/>
  <c r="AP156" i="4" s="1"/>
  <c r="AQ156" i="4" s="1"/>
  <c r="AO73" i="4"/>
  <c r="AP73" i="4" s="1"/>
  <c r="AQ73" i="4" s="1"/>
  <c r="AO89" i="4"/>
  <c r="AP89" i="4" s="1"/>
  <c r="AQ89" i="4" s="1"/>
  <c r="AO105" i="4"/>
  <c r="AP105" i="4" s="1"/>
  <c r="AQ105" i="4" s="1"/>
  <c r="AO121" i="4"/>
  <c r="AP121" i="4" s="1"/>
  <c r="AQ121" i="4" s="1"/>
  <c r="AO160" i="4"/>
  <c r="AP160" i="4" s="1"/>
  <c r="AQ160" i="4" s="1"/>
  <c r="AO195" i="4"/>
  <c r="AP195" i="4" s="1"/>
  <c r="AQ195" i="4" s="1"/>
  <c r="AO94" i="4"/>
  <c r="AP94" i="4" s="1"/>
  <c r="AQ94" i="4" s="1"/>
  <c r="AO110" i="4"/>
  <c r="AP110" i="4" s="1"/>
  <c r="AQ110" i="4" s="1"/>
  <c r="AO130" i="4"/>
  <c r="AP130" i="4" s="1"/>
  <c r="AQ130" i="4" s="1"/>
  <c r="AO134" i="4"/>
  <c r="AP134" i="4" s="1"/>
  <c r="AQ134" i="4" s="1"/>
  <c r="AO147" i="4"/>
  <c r="AP147" i="4" s="1"/>
  <c r="AQ147" i="4" s="1"/>
  <c r="AO151" i="4"/>
  <c r="AP151" i="4" s="1"/>
  <c r="AQ151" i="4" s="1"/>
  <c r="AO164" i="4"/>
  <c r="AP164" i="4" s="1"/>
  <c r="AQ164" i="4" s="1"/>
  <c r="AO181" i="4"/>
  <c r="AP181" i="4" s="1"/>
  <c r="AQ181" i="4" s="1"/>
  <c r="AO168" i="4"/>
  <c r="AP168" i="4" s="1"/>
  <c r="AQ168" i="4" s="1"/>
  <c r="AO88" i="4"/>
  <c r="AP88" i="4" s="1"/>
  <c r="AQ88" i="4" s="1"/>
  <c r="AO104" i="4"/>
  <c r="AP104" i="4" s="1"/>
  <c r="AQ104" i="4" s="1"/>
  <c r="AO120" i="4"/>
  <c r="AP120" i="4" s="1"/>
  <c r="AQ120" i="4" s="1"/>
  <c r="AO125" i="4"/>
  <c r="AP125" i="4" s="1"/>
  <c r="AQ125" i="4" s="1"/>
  <c r="AO138" i="4"/>
  <c r="AP138" i="4" s="1"/>
  <c r="AQ138" i="4" s="1"/>
  <c r="AO142" i="4"/>
  <c r="AP142" i="4" s="1"/>
  <c r="AQ142" i="4" s="1"/>
  <c r="AO155" i="4"/>
  <c r="AP155" i="4" s="1"/>
  <c r="AQ155" i="4" s="1"/>
  <c r="AO159" i="4"/>
  <c r="AP159" i="4" s="1"/>
  <c r="AQ159" i="4" s="1"/>
  <c r="AO172" i="4"/>
  <c r="AP172" i="4" s="1"/>
  <c r="AQ172" i="4" s="1"/>
  <c r="AO77" i="4"/>
  <c r="AP77" i="4" s="1"/>
  <c r="AQ77" i="4" s="1"/>
  <c r="AO93" i="4"/>
  <c r="AP93" i="4" s="1"/>
  <c r="AQ93" i="4" s="1"/>
  <c r="AO109" i="4"/>
  <c r="AP109" i="4" s="1"/>
  <c r="AQ109" i="4" s="1"/>
  <c r="AO176" i="4"/>
  <c r="AP176" i="4" s="1"/>
  <c r="AQ176" i="4" s="1"/>
  <c r="AO189" i="4"/>
  <c r="AP189" i="4" s="1"/>
  <c r="AQ189" i="4" s="1"/>
  <c r="AO205" i="4"/>
  <c r="AP205" i="4" s="1"/>
  <c r="AQ205" i="4" s="1"/>
  <c r="AO194" i="4"/>
  <c r="AP194" i="4" s="1"/>
  <c r="AQ194" i="4" s="1"/>
  <c r="AO199" i="4"/>
  <c r="AP199" i="4" s="1"/>
  <c r="AQ199" i="4" s="1"/>
  <c r="AO188" i="4"/>
  <c r="AP188" i="4" s="1"/>
  <c r="AQ188" i="4" s="1"/>
  <c r="AO204" i="4"/>
  <c r="AP204" i="4" s="1"/>
  <c r="AQ204" i="4" s="1"/>
  <c r="AO193" i="4"/>
  <c r="AP193" i="4" s="1"/>
  <c r="AQ193" i="4" s="1"/>
  <c r="AO198" i="4"/>
  <c r="AP198" i="4" s="1"/>
  <c r="AQ198" i="4" s="1"/>
  <c r="AO187" i="4"/>
  <c r="AP187" i="4" s="1"/>
  <c r="AQ187" i="4" s="1"/>
  <c r="AO203" i="4"/>
  <c r="AP203" i="4" s="1"/>
  <c r="AQ203" i="4" s="1"/>
  <c r="AO208" i="4"/>
  <c r="AP208" i="4" s="1"/>
  <c r="AQ208" i="4" s="1"/>
  <c r="AO192" i="4"/>
  <c r="AP192" i="4" s="1"/>
  <c r="AQ192" i="4" s="1"/>
  <c r="AO197" i="4"/>
  <c r="AP197" i="4" s="1"/>
  <c r="AQ197" i="4" s="1"/>
  <c r="AO186" i="4"/>
  <c r="AP186" i="4" s="1"/>
  <c r="AQ186" i="4" s="1"/>
  <c r="AO202" i="4"/>
  <c r="AP202" i="4" s="1"/>
  <c r="AQ202" i="4" s="1"/>
  <c r="AO207" i="4"/>
  <c r="AP207" i="4" s="1"/>
  <c r="AQ207" i="4" s="1"/>
  <c r="AO196" i="4"/>
  <c r="AP196" i="4" s="1"/>
  <c r="AQ196" i="4" s="1"/>
  <c r="AO185" i="4"/>
  <c r="AP185" i="4" s="1"/>
  <c r="AQ185" i="4" s="1"/>
  <c r="AO201" i="4"/>
  <c r="AP201" i="4" s="1"/>
  <c r="AQ201" i="4" s="1"/>
  <c r="Z4" i="3"/>
  <c r="E8" i="2"/>
  <c r="U8" i="2" s="1"/>
  <c r="E9" i="2"/>
  <c r="V9" i="2" s="1"/>
  <c r="E10" i="2"/>
  <c r="U10" i="2" s="1"/>
  <c r="E11" i="2"/>
  <c r="W11" i="2" s="1"/>
  <c r="E12" i="2"/>
  <c r="V12" i="2" s="1"/>
  <c r="E13" i="2"/>
  <c r="V13" i="2" s="1"/>
  <c r="E14" i="2"/>
  <c r="W14" i="2" s="1"/>
  <c r="E15" i="2"/>
  <c r="E16" i="2"/>
  <c r="W16" i="2" s="1"/>
  <c r="E17" i="2"/>
  <c r="V17" i="2" s="1"/>
  <c r="E18" i="2"/>
  <c r="U18" i="2" s="1"/>
  <c r="E19" i="2"/>
  <c r="U19" i="2" s="1"/>
  <c r="E20" i="2"/>
  <c r="W20" i="2" s="1"/>
  <c r="E21" i="2"/>
  <c r="W21" i="2" s="1"/>
  <c r="E22" i="2"/>
  <c r="W22" i="2" s="1"/>
  <c r="E23" i="2"/>
  <c r="U23" i="2" s="1"/>
  <c r="E24" i="2"/>
  <c r="V24" i="2" s="1"/>
  <c r="E25" i="2"/>
  <c r="W25" i="2" s="1"/>
  <c r="E26" i="2"/>
  <c r="U26" i="2" s="1"/>
  <c r="E27" i="2"/>
  <c r="V27" i="2" s="1"/>
  <c r="E28" i="2"/>
  <c r="V28" i="2" s="1"/>
  <c r="E29" i="2"/>
  <c r="V29" i="2" s="1"/>
  <c r="E30" i="2"/>
  <c r="W30" i="2" s="1"/>
  <c r="E31" i="2"/>
  <c r="U31" i="2" s="1"/>
  <c r="E32" i="2"/>
  <c r="W32" i="2" s="1"/>
  <c r="E33" i="2"/>
  <c r="V33" i="2" s="1"/>
  <c r="E34" i="2"/>
  <c r="V34" i="2" s="1"/>
  <c r="E35" i="2"/>
  <c r="V35" i="2" s="1"/>
  <c r="E36" i="2"/>
  <c r="W36" i="2" s="1"/>
  <c r="E37" i="2"/>
  <c r="W37" i="2" s="1"/>
  <c r="E38" i="2"/>
  <c r="W38" i="2" s="1"/>
  <c r="E39" i="2"/>
  <c r="W39" i="2" s="1"/>
  <c r="E40" i="2"/>
  <c r="V40" i="2" s="1"/>
  <c r="E41" i="2"/>
  <c r="V41" i="2" s="1"/>
  <c r="E42" i="2"/>
  <c r="U42" i="2" s="1"/>
  <c r="E43" i="2"/>
  <c r="W43" i="2" s="1"/>
  <c r="E44" i="2"/>
  <c r="U44" i="2" s="1"/>
  <c r="E45" i="2"/>
  <c r="U45" i="2" s="1"/>
  <c r="E46" i="2"/>
  <c r="U46" i="2" s="1"/>
  <c r="E47" i="2"/>
  <c r="E48" i="2"/>
  <c r="E49" i="2"/>
  <c r="U49" i="2" s="1"/>
  <c r="E50" i="2"/>
  <c r="W50" i="2" s="1"/>
  <c r="E51" i="2"/>
  <c r="V51" i="2" s="1"/>
  <c r="E52" i="2"/>
  <c r="W52" i="2" s="1"/>
  <c r="E53" i="2"/>
  <c r="V53" i="2" s="1"/>
  <c r="E54" i="2"/>
  <c r="V54" i="2" s="1"/>
  <c r="E55" i="2"/>
  <c r="W55" i="2" s="1"/>
  <c r="E56" i="2"/>
  <c r="W56" i="2" s="1"/>
  <c r="E57" i="2"/>
  <c r="E58" i="2"/>
  <c r="V58" i="2" s="1"/>
  <c r="E59" i="2"/>
  <c r="U59" i="2" s="1"/>
  <c r="E60" i="2"/>
  <c r="U60" i="2" s="1"/>
  <c r="E61" i="2"/>
  <c r="U61" i="2" s="1"/>
  <c r="E62" i="2"/>
  <c r="E63" i="2"/>
  <c r="U63" i="2" s="1"/>
  <c r="E64" i="2"/>
  <c r="V64" i="2" s="1"/>
  <c r="E65" i="2"/>
  <c r="U65" i="2" s="1"/>
  <c r="E66" i="2"/>
  <c r="W66" i="2" s="1"/>
  <c r="E67" i="2"/>
  <c r="V67" i="2" s="1"/>
  <c r="E68" i="2"/>
  <c r="U68" i="2" s="1"/>
  <c r="E69" i="2"/>
  <c r="V69" i="2" s="1"/>
  <c r="E70" i="2"/>
  <c r="U70" i="2" s="1"/>
  <c r="E71" i="2"/>
  <c r="V71" i="2" s="1"/>
  <c r="E72" i="2"/>
  <c r="U72" i="2" s="1"/>
  <c r="E73" i="2"/>
  <c r="V73" i="2" s="1"/>
  <c r="E74" i="2"/>
  <c r="V74" i="2" s="1"/>
  <c r="E75" i="2"/>
  <c r="W75" i="2" s="1"/>
  <c r="E76" i="2"/>
  <c r="W76" i="2" s="1"/>
  <c r="E77" i="2"/>
  <c r="V77" i="2" s="1"/>
  <c r="E78" i="2"/>
  <c r="V78" i="2" s="1"/>
  <c r="E79" i="2"/>
  <c r="U79" i="2" s="1"/>
  <c r="E80" i="2"/>
  <c r="W80" i="2" s="1"/>
  <c r="E81" i="2"/>
  <c r="W81" i="2" s="1"/>
  <c r="E82" i="2"/>
  <c r="V82" i="2" s="1"/>
  <c r="E83" i="2"/>
  <c r="W83" i="2" s="1"/>
  <c r="E84" i="2"/>
  <c r="U84" i="2" s="1"/>
  <c r="E85" i="2"/>
  <c r="U85" i="2" s="1"/>
  <c r="E86" i="2"/>
  <c r="W86" i="2" s="1"/>
  <c r="E87" i="2"/>
  <c r="U87" i="2" s="1"/>
  <c r="E88" i="2"/>
  <c r="U88" i="2" s="1"/>
  <c r="E89" i="2"/>
  <c r="W89" i="2" s="1"/>
  <c r="E90" i="2"/>
  <c r="U90" i="2" s="1"/>
  <c r="E91" i="2"/>
  <c r="W91" i="2" s="1"/>
  <c r="E92" i="2"/>
  <c r="W92" i="2" s="1"/>
  <c r="E93" i="2"/>
  <c r="E94" i="2"/>
  <c r="U94" i="2" s="1"/>
  <c r="E95" i="2"/>
  <c r="E96" i="2"/>
  <c r="U96" i="2" s="1"/>
  <c r="E97" i="2"/>
  <c r="W97" i="2" s="1"/>
  <c r="E98" i="2"/>
  <c r="V98" i="2" s="1"/>
  <c r="E99" i="2"/>
  <c r="U99" i="2" s="1"/>
  <c r="E100" i="2"/>
  <c r="U100" i="2" s="1"/>
  <c r="E101" i="2"/>
  <c r="U101" i="2" s="1"/>
  <c r="E102" i="2"/>
  <c r="W102" i="2" s="1"/>
  <c r="E103" i="2"/>
  <c r="W103" i="2" s="1"/>
  <c r="E104" i="2"/>
  <c r="U104" i="2" s="1"/>
  <c r="E105" i="2"/>
  <c r="W105" i="2" s="1"/>
  <c r="E106" i="2"/>
  <c r="U106" i="2" s="1"/>
  <c r="E107" i="2"/>
  <c r="V107" i="2" s="1"/>
  <c r="E108" i="2"/>
  <c r="V108" i="2" s="1"/>
  <c r="E109" i="2"/>
  <c r="W109" i="2" s="1"/>
  <c r="E110" i="2"/>
  <c r="W110" i="2" s="1"/>
  <c r="E111" i="2"/>
  <c r="E112" i="2"/>
  <c r="W112" i="2" s="1"/>
  <c r="E113" i="2"/>
  <c r="V113" i="2" s="1"/>
  <c r="E114" i="2"/>
  <c r="U114" i="2" s="1"/>
  <c r="E115" i="2"/>
  <c r="V115" i="2" s="1"/>
  <c r="E116" i="2"/>
  <c r="W116" i="2" s="1"/>
  <c r="E117" i="2"/>
  <c r="W117" i="2" s="1"/>
  <c r="E118" i="2"/>
  <c r="V118" i="2" s="1"/>
  <c r="E119" i="2"/>
  <c r="W119" i="2" s="1"/>
  <c r="E120" i="2"/>
  <c r="E121" i="2"/>
  <c r="W121" i="2" s="1"/>
  <c r="E122" i="2"/>
  <c r="W122" i="2" s="1"/>
  <c r="E123" i="2"/>
  <c r="V123" i="2" s="1"/>
  <c r="E124" i="2"/>
  <c r="V124" i="2" s="1"/>
  <c r="E125" i="2"/>
  <c r="E126" i="2"/>
  <c r="W126" i="2" s="1"/>
  <c r="E127" i="2"/>
  <c r="W127" i="2" s="1"/>
  <c r="E128" i="2"/>
  <c r="W128" i="2" s="1"/>
  <c r="E129" i="2"/>
  <c r="V129" i="2" s="1"/>
  <c r="E130" i="2"/>
  <c r="W130" i="2" s="1"/>
  <c r="E131" i="2"/>
  <c r="W131" i="2" s="1"/>
  <c r="E132" i="2"/>
  <c r="W132" i="2" s="1"/>
  <c r="E133" i="2"/>
  <c r="V133" i="2" s="1"/>
  <c r="E134" i="2"/>
  <c r="V134" i="2" s="1"/>
  <c r="E135" i="2"/>
  <c r="V135" i="2" s="1"/>
  <c r="E136" i="2"/>
  <c r="V136" i="2" s="1"/>
  <c r="E137" i="2"/>
  <c r="V137" i="2" s="1"/>
  <c r="E138" i="2"/>
  <c r="W138" i="2" s="1"/>
  <c r="E139" i="2"/>
  <c r="U139" i="2" s="1"/>
  <c r="E140" i="2"/>
  <c r="W140" i="2" s="1"/>
  <c r="E141" i="2"/>
  <c r="V141" i="2" s="1"/>
  <c r="E142" i="2"/>
  <c r="E143" i="2"/>
  <c r="E144" i="2"/>
  <c r="U144" i="2" s="1"/>
  <c r="E145" i="2"/>
  <c r="V145" i="2" s="1"/>
  <c r="E146" i="2"/>
  <c r="W146" i="2" s="1"/>
  <c r="E147" i="2"/>
  <c r="W147" i="2" s="1"/>
  <c r="E148" i="2"/>
  <c r="W148" i="2" s="1"/>
  <c r="E149" i="2"/>
  <c r="W149" i="2" s="1"/>
  <c r="E150" i="2"/>
  <c r="U150" i="2" s="1"/>
  <c r="E151" i="2"/>
  <c r="V151" i="2" s="1"/>
  <c r="E152" i="2"/>
  <c r="W152" i="2" s="1"/>
  <c r="E153" i="2"/>
  <c r="U153" i="2" s="1"/>
  <c r="E154" i="2"/>
  <c r="V154" i="2" s="1"/>
  <c r="E155" i="2"/>
  <c r="V155" i="2" s="1"/>
  <c r="E156" i="2"/>
  <c r="W156" i="2" s="1"/>
  <c r="E157" i="2"/>
  <c r="W157" i="2" s="1"/>
  <c r="E158" i="2"/>
  <c r="U158" i="2" s="1"/>
  <c r="E159" i="2"/>
  <c r="V159" i="2" s="1"/>
  <c r="E160" i="2"/>
  <c r="U160" i="2" s="1"/>
  <c r="E161" i="2"/>
  <c r="W161" i="2" s="1"/>
  <c r="E162" i="2"/>
  <c r="V162" i="2" s="1"/>
  <c r="E163" i="2"/>
  <c r="W163" i="2" s="1"/>
  <c r="E164" i="2"/>
  <c r="U164" i="2" s="1"/>
  <c r="E165" i="2"/>
  <c r="U165" i="2" s="1"/>
  <c r="E166" i="2"/>
  <c r="W166" i="2" s="1"/>
  <c r="E167" i="2"/>
  <c r="U167" i="2" s="1"/>
  <c r="E168" i="2"/>
  <c r="U168" i="2" s="1"/>
  <c r="E169" i="2"/>
  <c r="U169" i="2" s="1"/>
  <c r="E170" i="2"/>
  <c r="V170" i="2" s="1"/>
  <c r="E171" i="2"/>
  <c r="W171" i="2" s="1"/>
  <c r="E172" i="2"/>
  <c r="W172" i="2" s="1"/>
  <c r="E173" i="2"/>
  <c r="U173" i="2" s="1"/>
  <c r="E174" i="2"/>
  <c r="V174" i="2" s="1"/>
  <c r="E175" i="2"/>
  <c r="E176" i="2"/>
  <c r="U176" i="2" s="1"/>
  <c r="E177" i="2"/>
  <c r="W177" i="2" s="1"/>
  <c r="E178" i="2"/>
  <c r="V178" i="2" s="1"/>
  <c r="E179" i="2"/>
  <c r="W179" i="2" s="1"/>
  <c r="E180" i="2"/>
  <c r="W180" i="2" s="1"/>
  <c r="E181" i="2"/>
  <c r="U181" i="2" s="1"/>
  <c r="E182" i="2"/>
  <c r="U182" i="2" s="1"/>
  <c r="E183" i="2"/>
  <c r="V183" i="2" s="1"/>
  <c r="E184" i="2"/>
  <c r="V184" i="2" s="1"/>
  <c r="E185" i="2"/>
  <c r="W185" i="2" s="1"/>
  <c r="E186" i="2"/>
  <c r="W186" i="2" s="1"/>
  <c r="E187" i="2"/>
  <c r="W187" i="2" s="1"/>
  <c r="E188" i="2"/>
  <c r="W188" i="2" s="1"/>
  <c r="E189" i="2"/>
  <c r="W189" i="2" s="1"/>
  <c r="E190" i="2"/>
  <c r="W190" i="2" s="1"/>
  <c r="E191" i="2"/>
  <c r="V191" i="2" s="1"/>
  <c r="E192" i="2"/>
  <c r="W192" i="2" s="1"/>
  <c r="E193" i="2"/>
  <c r="E194" i="2"/>
  <c r="V194" i="2" s="1"/>
  <c r="E195" i="2"/>
  <c r="G195" i="2" s="1" a="1"/>
  <c r="G195" i="2" s="1"/>
  <c r="E196" i="2"/>
  <c r="V196" i="2" s="1"/>
  <c r="E197" i="2"/>
  <c r="U197" i="2" s="1"/>
  <c r="E198" i="2"/>
  <c r="U198" i="2" s="1"/>
  <c r="E199" i="2"/>
  <c r="U199" i="2" s="1"/>
  <c r="E200" i="2"/>
  <c r="U200" i="2" s="1"/>
  <c r="E201" i="2"/>
  <c r="W201" i="2" s="1"/>
  <c r="E202" i="2"/>
  <c r="V202" i="2" s="1"/>
  <c r="E203" i="2"/>
  <c r="W203" i="2" s="1"/>
  <c r="E204" i="2"/>
  <c r="W204" i="2" s="1"/>
  <c r="E205" i="2"/>
  <c r="U205" i="2" s="1"/>
  <c r="E206" i="2"/>
  <c r="U206" i="2" s="1"/>
  <c r="E7" i="2"/>
  <c r="V7" i="2" s="1"/>
  <c r="K207" i="2" l="1"/>
  <c r="V121" i="2"/>
  <c r="V87" i="2"/>
  <c r="W23" i="2"/>
  <c r="U196" i="2"/>
  <c r="U156" i="2"/>
  <c r="V179" i="2"/>
  <c r="W150" i="2"/>
  <c r="W168" i="2"/>
  <c r="U140" i="2"/>
  <c r="V147" i="2"/>
  <c r="U38" i="2"/>
  <c r="U14" i="2"/>
  <c r="G183" i="2" a="1"/>
  <c r="G183" i="2" s="1"/>
  <c r="W77" i="2"/>
  <c r="V85" i="2"/>
  <c r="U67" i="2"/>
  <c r="U16" i="2"/>
  <c r="W45" i="2"/>
  <c r="V197" i="2"/>
  <c r="V109" i="2"/>
  <c r="W194" i="2"/>
  <c r="V116" i="2"/>
  <c r="V148" i="2"/>
  <c r="U185" i="2"/>
  <c r="U83" i="2"/>
  <c r="U24" i="2"/>
  <c r="V204" i="2"/>
  <c r="V43" i="2"/>
  <c r="V101" i="2"/>
  <c r="V84" i="2"/>
  <c r="V99" i="2"/>
  <c r="V146" i="2"/>
  <c r="V55" i="2"/>
  <c r="W70" i="2"/>
  <c r="V187" i="2"/>
  <c r="U137" i="2"/>
  <c r="V200" i="2"/>
  <c r="U141" i="2"/>
  <c r="U34" i="2"/>
  <c r="U12" i="2"/>
  <c r="V160" i="2"/>
  <c r="U69" i="2"/>
  <c r="V110" i="2"/>
  <c r="V83" i="2"/>
  <c r="U195" i="2"/>
  <c r="V130" i="2"/>
  <c r="U188" i="2"/>
  <c r="U155" i="2"/>
  <c r="V42" i="2"/>
  <c r="V36" i="2"/>
  <c r="U105" i="2"/>
  <c r="W40" i="2"/>
  <c r="U109" i="2"/>
  <c r="V182" i="2"/>
  <c r="U123" i="2"/>
  <c r="U37" i="2"/>
  <c r="U73" i="2"/>
  <c r="W162" i="2"/>
  <c r="U194" i="2"/>
  <c r="W101" i="2"/>
  <c r="V20" i="2"/>
  <c r="W67" i="2"/>
  <c r="W8" i="2"/>
  <c r="V172" i="2"/>
  <c r="V102" i="2"/>
  <c r="U75" i="2"/>
  <c r="V169" i="2"/>
  <c r="W51" i="2"/>
  <c r="V195" i="2"/>
  <c r="W114" i="2"/>
  <c r="W69" i="2"/>
  <c r="W100" i="2"/>
  <c r="U148" i="2"/>
  <c r="U25" i="2"/>
  <c r="V168" i="2"/>
  <c r="U119" i="2"/>
  <c r="U74" i="2"/>
  <c r="U202" i="2"/>
  <c r="W19" i="2"/>
  <c r="U163" i="2"/>
  <c r="W98" i="2"/>
  <c r="W68" i="2"/>
  <c r="U9" i="2"/>
  <c r="V152" i="2"/>
  <c r="U178" i="2"/>
  <c r="U187" i="2"/>
  <c r="W169" i="2"/>
  <c r="U36" i="2"/>
  <c r="U132" i="2"/>
  <c r="U131" i="2"/>
  <c r="U56" i="2"/>
  <c r="U39" i="2"/>
  <c r="V181" i="2"/>
  <c r="V164" i="2"/>
  <c r="V25" i="2"/>
  <c r="U162" i="2"/>
  <c r="V91" i="2"/>
  <c r="V149" i="2"/>
  <c r="U97" i="2"/>
  <c r="W10" i="2"/>
  <c r="V122" i="2"/>
  <c r="U154" i="2"/>
  <c r="G7" i="2" a="1"/>
  <c r="G7" i="2" s="1"/>
  <c r="Z191" i="2"/>
  <c r="G191" i="2" a="1"/>
  <c r="G191" i="2" s="1"/>
  <c r="Z175" i="2"/>
  <c r="Y175" i="2"/>
  <c r="G175" i="2" a="1"/>
  <c r="G175" i="2" s="1"/>
  <c r="Z159" i="2"/>
  <c r="Y159" i="2"/>
  <c r="G159" i="2" a="1"/>
  <c r="G159" i="2" s="1"/>
  <c r="Z143" i="2"/>
  <c r="G143" i="2" a="1"/>
  <c r="G143" i="2" s="1"/>
  <c r="G127" i="2" a="1"/>
  <c r="G127" i="2" s="1"/>
  <c r="Z111" i="2"/>
  <c r="Y111" i="2"/>
  <c r="G111" i="2" a="1"/>
  <c r="G111" i="2" s="1"/>
  <c r="Z95" i="2"/>
  <c r="Y95" i="2"/>
  <c r="G95" i="2" a="1"/>
  <c r="G95" i="2" s="1"/>
  <c r="G79" i="2" a="1"/>
  <c r="G79" i="2" s="1"/>
  <c r="G63" i="2" a="1"/>
  <c r="G63" i="2" s="1"/>
  <c r="Z47" i="2"/>
  <c r="Y47" i="2"/>
  <c r="G47" i="2" a="1"/>
  <c r="G47" i="2" s="1"/>
  <c r="Z31" i="2"/>
  <c r="Y31" i="2"/>
  <c r="G31" i="2" a="1"/>
  <c r="G31" i="2" s="1"/>
  <c r="G15" i="2" a="1"/>
  <c r="G15" i="2" s="1"/>
  <c r="W196" i="2"/>
  <c r="U111" i="2"/>
  <c r="V185" i="2"/>
  <c r="W99" i="2"/>
  <c r="V14" i="2"/>
  <c r="U174" i="2"/>
  <c r="W88" i="2"/>
  <c r="V72" i="2"/>
  <c r="W18" i="2"/>
  <c r="W135" i="2"/>
  <c r="V50" i="2"/>
  <c r="V167" i="2"/>
  <c r="U82" i="2"/>
  <c r="V199" i="2"/>
  <c r="W113" i="2"/>
  <c r="U177" i="2"/>
  <c r="U118" i="2"/>
  <c r="W90" i="2"/>
  <c r="W202" i="2"/>
  <c r="U117" i="2"/>
  <c r="W31" i="2"/>
  <c r="V63" i="2"/>
  <c r="Z193" i="2"/>
  <c r="Y193" i="2"/>
  <c r="G193" i="2" a="1"/>
  <c r="G193" i="2" s="1"/>
  <c r="Y176" i="2"/>
  <c r="G176" i="2" a="1"/>
  <c r="G176" i="2" s="1"/>
  <c r="Z128" i="2"/>
  <c r="G128" i="2" a="1"/>
  <c r="G128" i="2" s="1"/>
  <c r="Z48" i="2"/>
  <c r="G48" i="2" a="1"/>
  <c r="G48" i="2" s="1"/>
  <c r="V86" i="2"/>
  <c r="V198" i="2"/>
  <c r="W111" i="2"/>
  <c r="V26" i="2"/>
  <c r="V143" i="2"/>
  <c r="U58" i="2"/>
  <c r="Y205" i="2"/>
  <c r="G205" i="2" a="1"/>
  <c r="G205" i="2" s="1"/>
  <c r="Z189" i="2"/>
  <c r="Y189" i="2"/>
  <c r="G189" i="2" a="1"/>
  <c r="G189" i="2" s="1"/>
  <c r="Z173" i="2"/>
  <c r="Y173" i="2"/>
  <c r="G173" i="2" a="1"/>
  <c r="G173" i="2" s="1"/>
  <c r="Y157" i="2"/>
  <c r="G157" i="2" a="1"/>
  <c r="G157" i="2" s="1"/>
  <c r="Z141" i="2"/>
  <c r="G141" i="2" a="1"/>
  <c r="G141" i="2" s="1"/>
  <c r="Y125" i="2"/>
  <c r="G125" i="2" a="1"/>
  <c r="G125" i="2" s="1"/>
  <c r="Z109" i="2"/>
  <c r="G109" i="2" a="1"/>
  <c r="G109" i="2" s="1"/>
  <c r="Z93" i="2"/>
  <c r="G93" i="2" a="1"/>
  <c r="G93" i="2" s="1"/>
  <c r="Z77" i="2"/>
  <c r="G77" i="2" a="1"/>
  <c r="G77" i="2" s="1"/>
  <c r="G61" i="2" a="1"/>
  <c r="G61" i="2" s="1"/>
  <c r="Z45" i="2"/>
  <c r="Y45" i="2"/>
  <c r="G45" i="2" a="1"/>
  <c r="G45" i="2" s="1"/>
  <c r="Z29" i="2"/>
  <c r="G29" i="2" a="1"/>
  <c r="G29" i="2" s="1"/>
  <c r="Z13" i="2"/>
  <c r="G13" i="2" a="1"/>
  <c r="G13" i="2" s="1"/>
  <c r="U186" i="2"/>
  <c r="V100" i="2"/>
  <c r="U15" i="2"/>
  <c r="U20" i="2"/>
  <c r="U89" i="2"/>
  <c r="V163" i="2"/>
  <c r="U78" i="2"/>
  <c r="W158" i="2"/>
  <c r="U147" i="2"/>
  <c r="W61" i="2"/>
  <c r="W178" i="2"/>
  <c r="V93" i="2"/>
  <c r="U125" i="2"/>
  <c r="U103" i="2"/>
  <c r="W17" i="2"/>
  <c r="W134" i="2"/>
  <c r="V49" i="2"/>
  <c r="V166" i="2"/>
  <c r="U81" i="2"/>
  <c r="U193" i="2"/>
  <c r="U22" i="2"/>
  <c r="W53" i="2"/>
  <c r="V165" i="2"/>
  <c r="U80" i="2"/>
  <c r="U192" i="2"/>
  <c r="V106" i="2"/>
  <c r="U21" i="2"/>
  <c r="U138" i="2"/>
  <c r="V65" i="2"/>
  <c r="Z142" i="2"/>
  <c r="G142" i="2" a="1"/>
  <c r="G142" i="2" s="1"/>
  <c r="Z94" i="2"/>
  <c r="G94" i="2" a="1"/>
  <c r="G94" i="2" s="1"/>
  <c r="Z30" i="2"/>
  <c r="Y30" i="2"/>
  <c r="G30" i="2" a="1"/>
  <c r="G30" i="2" s="1"/>
  <c r="W54" i="2"/>
  <c r="W170" i="2"/>
  <c r="V180" i="2"/>
  <c r="U95" i="2"/>
  <c r="W9" i="2"/>
  <c r="U180" i="2"/>
  <c r="W72" i="2"/>
  <c r="W141" i="2"/>
  <c r="V56" i="2"/>
  <c r="V173" i="2"/>
  <c r="V205" i="2"/>
  <c r="U66" i="2"/>
  <c r="U161" i="2"/>
  <c r="U102" i="2"/>
  <c r="W133" i="2"/>
  <c r="V48" i="2"/>
  <c r="W74" i="2"/>
  <c r="W15" i="2"/>
  <c r="V47" i="2"/>
  <c r="G145" i="2" a="1"/>
  <c r="G145" i="2" s="1"/>
  <c r="U17" i="2"/>
  <c r="Z160" i="2"/>
  <c r="Y160" i="2"/>
  <c r="G160" i="2" a="1"/>
  <c r="G160" i="2" s="1"/>
  <c r="Z112" i="2"/>
  <c r="G112" i="2" a="1"/>
  <c r="G112" i="2" s="1"/>
  <c r="Z96" i="2"/>
  <c r="G96" i="2" a="1"/>
  <c r="G96" i="2" s="1"/>
  <c r="Z64" i="2"/>
  <c r="G64" i="2" a="1"/>
  <c r="G64" i="2" s="1"/>
  <c r="Z16" i="2"/>
  <c r="G16" i="2" a="1"/>
  <c r="G16" i="2" s="1"/>
  <c r="Z190" i="2"/>
  <c r="Y190" i="2"/>
  <c r="G190" i="2" a="1"/>
  <c r="G190" i="2" s="1"/>
  <c r="G62" i="2" a="1"/>
  <c r="G62" i="2" s="1"/>
  <c r="V144" i="2"/>
  <c r="Z204" i="2"/>
  <c r="Y204" i="2"/>
  <c r="G204" i="2" a="1"/>
  <c r="G204" i="2" s="1"/>
  <c r="Z188" i="2"/>
  <c r="Y188" i="2"/>
  <c r="G188" i="2" a="1"/>
  <c r="G188" i="2" s="1"/>
  <c r="Y172" i="2"/>
  <c r="G172" i="2" a="1"/>
  <c r="G172" i="2" s="1"/>
  <c r="Y156" i="2"/>
  <c r="G156" i="2" a="1"/>
  <c r="G156" i="2" s="1"/>
  <c r="Z140" i="2"/>
  <c r="G140" i="2" a="1"/>
  <c r="G140" i="2" s="1"/>
  <c r="Y124" i="2"/>
  <c r="G124" i="2" a="1"/>
  <c r="G124" i="2" s="1"/>
  <c r="G108" i="2" a="1"/>
  <c r="G108" i="2" s="1"/>
  <c r="Z92" i="2"/>
  <c r="G92" i="2" a="1"/>
  <c r="G92" i="2" s="1"/>
  <c r="Z76" i="2"/>
  <c r="Y76" i="2"/>
  <c r="G76" i="2" a="1"/>
  <c r="G76" i="2" s="1"/>
  <c r="Z60" i="2"/>
  <c r="G60" i="2" a="1"/>
  <c r="G60" i="2" s="1"/>
  <c r="Z44" i="2"/>
  <c r="G44" i="2" a="1"/>
  <c r="G44" i="2" s="1"/>
  <c r="Y28" i="2"/>
  <c r="G28" i="2" a="1"/>
  <c r="G28" i="2" s="1"/>
  <c r="G12" i="2" a="1"/>
  <c r="G12" i="2" s="1"/>
  <c r="G203" i="2" a="1"/>
  <c r="G203" i="2" s="1"/>
  <c r="G187" i="2" a="1"/>
  <c r="G187" i="2" s="1"/>
  <c r="Z171" i="2"/>
  <c r="Y171" i="2"/>
  <c r="G171" i="2" a="1"/>
  <c r="G171" i="2" s="1"/>
  <c r="Z155" i="2"/>
  <c r="G155" i="2" a="1"/>
  <c r="G155" i="2" s="1"/>
  <c r="Z139" i="2"/>
  <c r="G139" i="2" a="1"/>
  <c r="G139" i="2" s="1"/>
  <c r="Z123" i="2"/>
  <c r="G123" i="2" a="1"/>
  <c r="G123" i="2" s="1"/>
  <c r="Z107" i="2"/>
  <c r="G107" i="2" a="1"/>
  <c r="G107" i="2" s="1"/>
  <c r="Z91" i="2"/>
  <c r="G91" i="2" a="1"/>
  <c r="G91" i="2" s="1"/>
  <c r="Z75" i="2"/>
  <c r="G75" i="2" a="1"/>
  <c r="G75" i="2" s="1"/>
  <c r="Z59" i="2"/>
  <c r="G59" i="2" a="1"/>
  <c r="G59" i="2" s="1"/>
  <c r="Z43" i="2"/>
  <c r="G43" i="2" a="1"/>
  <c r="G43" i="2" s="1"/>
  <c r="Z27" i="2"/>
  <c r="G27" i="2" a="1"/>
  <c r="G27" i="2" s="1"/>
  <c r="Y11" i="2"/>
  <c r="G11" i="2" a="1"/>
  <c r="G11" i="2" s="1"/>
  <c r="U175" i="2"/>
  <c r="U191" i="2"/>
  <c r="V153" i="2"/>
  <c r="U116" i="2"/>
  <c r="U51" i="2"/>
  <c r="W82" i="2"/>
  <c r="V114" i="2"/>
  <c r="U29" i="2"/>
  <c r="U146" i="2"/>
  <c r="W60" i="2"/>
  <c r="V92" i="2"/>
  <c r="U7" i="2"/>
  <c r="AC7" i="2" s="1"/>
  <c r="U124" i="2"/>
  <c r="W155" i="2"/>
  <c r="V70" i="2"/>
  <c r="W96" i="2"/>
  <c r="V11" i="2"/>
  <c r="V128" i="2"/>
  <c r="U43" i="2"/>
  <c r="W154" i="2"/>
  <c r="W95" i="2"/>
  <c r="V10" i="2"/>
  <c r="V127" i="2"/>
  <c r="G32" i="2" a="1"/>
  <c r="G32" i="2" s="1"/>
  <c r="Z42" i="2"/>
  <c r="G42" i="2" a="1"/>
  <c r="G42" i="2" s="1"/>
  <c r="U62" i="2"/>
  <c r="U64" i="2"/>
  <c r="W175" i="2"/>
  <c r="V90" i="2"/>
  <c r="U122" i="2"/>
  <c r="W94" i="2"/>
  <c r="W176" i="2"/>
  <c r="U142" i="2"/>
  <c r="W125" i="2"/>
  <c r="V157" i="2"/>
  <c r="V189" i="2"/>
  <c r="V18" i="2"/>
  <c r="U50" i="2"/>
  <c r="U28" i="2"/>
  <c r="U145" i="2"/>
  <c r="W59" i="2"/>
  <c r="V171" i="2"/>
  <c r="U86" i="2"/>
  <c r="V203" i="2"/>
  <c r="V32" i="2"/>
  <c r="W58" i="2"/>
  <c r="V31" i="2"/>
  <c r="Z113" i="2"/>
  <c r="Y113" i="2"/>
  <c r="G113" i="2" a="1"/>
  <c r="G113" i="2" s="1"/>
  <c r="Z201" i="2"/>
  <c r="G201" i="2" a="1"/>
  <c r="G201" i="2" s="1"/>
  <c r="Y201" i="2"/>
  <c r="Z169" i="2"/>
  <c r="G169" i="2" a="1"/>
  <c r="G169" i="2" s="1"/>
  <c r="Y169" i="2"/>
  <c r="Z121" i="2"/>
  <c r="G121" i="2" a="1"/>
  <c r="G121" i="2" s="1"/>
  <c r="Z73" i="2"/>
  <c r="G73" i="2" a="1"/>
  <c r="G73" i="2" s="1"/>
  <c r="Z57" i="2"/>
  <c r="G57" i="2" a="1"/>
  <c r="G57" i="2" s="1"/>
  <c r="Z25" i="2"/>
  <c r="G25" i="2" a="1"/>
  <c r="G25" i="2" s="1"/>
  <c r="G9" i="2" a="1"/>
  <c r="G9" i="2" s="1"/>
  <c r="Z200" i="2"/>
  <c r="G200" i="2" a="1"/>
  <c r="G200" i="2" s="1"/>
  <c r="Y200" i="2"/>
  <c r="Z184" i="2"/>
  <c r="G184" i="2" a="1"/>
  <c r="G184" i="2" s="1"/>
  <c r="Z168" i="2"/>
  <c r="G168" i="2" a="1"/>
  <c r="G168" i="2" s="1"/>
  <c r="Y168" i="2"/>
  <c r="Z152" i="2"/>
  <c r="G152" i="2" a="1"/>
  <c r="G152" i="2" s="1"/>
  <c r="Z136" i="2"/>
  <c r="G136" i="2" a="1"/>
  <c r="G136" i="2" s="1"/>
  <c r="Z120" i="2"/>
  <c r="G120" i="2" a="1"/>
  <c r="G120" i="2" s="1"/>
  <c r="Z104" i="2"/>
  <c r="G104" i="2" a="1"/>
  <c r="G104" i="2" s="1"/>
  <c r="Y104" i="2"/>
  <c r="Z88" i="2"/>
  <c r="G88" i="2" a="1"/>
  <c r="G88" i="2" s="1"/>
  <c r="Z72" i="2"/>
  <c r="G72" i="2" a="1"/>
  <c r="G72" i="2" s="1"/>
  <c r="Y72" i="2"/>
  <c r="Z56" i="2"/>
  <c r="G56" i="2" a="1"/>
  <c r="G56" i="2" s="1"/>
  <c r="Z40" i="2"/>
  <c r="G40" i="2" a="1"/>
  <c r="G40" i="2" s="1"/>
  <c r="Y40" i="2"/>
  <c r="Z24" i="2"/>
  <c r="G24" i="2" a="1"/>
  <c r="G24" i="2" s="1"/>
  <c r="Z8" i="2"/>
  <c r="G8" i="2" a="1"/>
  <c r="G8" i="2" s="1"/>
  <c r="Y8" i="2"/>
  <c r="U159" i="2"/>
  <c r="W73" i="2"/>
  <c r="V62" i="2"/>
  <c r="W136" i="2"/>
  <c r="V120" i="2"/>
  <c r="U35" i="2"/>
  <c r="U152" i="2"/>
  <c r="U184" i="2"/>
  <c r="U13" i="2"/>
  <c r="U130" i="2"/>
  <c r="V76" i="2"/>
  <c r="W193" i="2"/>
  <c r="U108" i="2"/>
  <c r="W139" i="2"/>
  <c r="U166" i="2"/>
  <c r="V112" i="2"/>
  <c r="U27" i="2"/>
  <c r="W79" i="2"/>
  <c r="V111" i="2"/>
  <c r="Z144" i="2"/>
  <c r="G144" i="2" a="1"/>
  <c r="G144" i="2" s="1"/>
  <c r="J206" i="2"/>
  <c r="Y206" i="2"/>
  <c r="G206" i="2" a="1"/>
  <c r="G206" i="2" s="1"/>
  <c r="O158" i="2"/>
  <c r="Y158" i="2"/>
  <c r="G158" i="2" a="1"/>
  <c r="G158" i="2" s="1"/>
  <c r="Z110" i="2"/>
  <c r="G110" i="2" a="1"/>
  <c r="G110" i="2" s="1"/>
  <c r="Z78" i="2"/>
  <c r="G78" i="2" a="1"/>
  <c r="G78" i="2" s="1"/>
  <c r="Z14" i="2"/>
  <c r="Y14" i="2"/>
  <c r="G14" i="2" a="1"/>
  <c r="G14" i="2" s="1"/>
  <c r="X14" i="2"/>
  <c r="V158" i="2"/>
  <c r="W118" i="2"/>
  <c r="V150" i="2"/>
  <c r="P185" i="2"/>
  <c r="G185" i="2" a="1"/>
  <c r="G185" i="2" s="1"/>
  <c r="Z153" i="2"/>
  <c r="G153" i="2" a="1"/>
  <c r="G153" i="2" s="1"/>
  <c r="Z137" i="2"/>
  <c r="G137" i="2" a="1"/>
  <c r="G137" i="2" s="1"/>
  <c r="Y105" i="2"/>
  <c r="G105" i="2" a="1"/>
  <c r="G105" i="2" s="1"/>
  <c r="Z89" i="2"/>
  <c r="G89" i="2" a="1"/>
  <c r="G89" i="2" s="1"/>
  <c r="Y41" i="2"/>
  <c r="G41" i="2" a="1"/>
  <c r="G41" i="2" s="1"/>
  <c r="Z199" i="2"/>
  <c r="G199" i="2" a="1"/>
  <c r="G199" i="2" s="1"/>
  <c r="Y199" i="2"/>
  <c r="Z183" i="2"/>
  <c r="Y183" i="2"/>
  <c r="Z167" i="2"/>
  <c r="G167" i="2" a="1"/>
  <c r="G167" i="2" s="1"/>
  <c r="Y167" i="2"/>
  <c r="Z151" i="2"/>
  <c r="G151" i="2" a="1"/>
  <c r="G151" i="2" s="1"/>
  <c r="Z135" i="2"/>
  <c r="G135" i="2" a="1"/>
  <c r="G135" i="2" s="1"/>
  <c r="Z119" i="2"/>
  <c r="G119" i="2" a="1"/>
  <c r="G119" i="2" s="1"/>
  <c r="Z103" i="2"/>
  <c r="G103" i="2" a="1"/>
  <c r="G103" i="2" s="1"/>
  <c r="Y103" i="2"/>
  <c r="Z87" i="2"/>
  <c r="G87" i="2" a="1"/>
  <c r="G87" i="2" s="1"/>
  <c r="Z71" i="2"/>
  <c r="G71" i="2" a="1"/>
  <c r="G71" i="2" s="1"/>
  <c r="Z55" i="2"/>
  <c r="G55" i="2" a="1"/>
  <c r="G55" i="2" s="1"/>
  <c r="G39" i="2" a="1"/>
  <c r="G39" i="2" s="1"/>
  <c r="Y39" i="2"/>
  <c r="Z23" i="2"/>
  <c r="G23" i="2" a="1"/>
  <c r="G23" i="2" s="1"/>
  <c r="W153" i="2"/>
  <c r="V68" i="2"/>
  <c r="V105" i="2"/>
  <c r="W142" i="2"/>
  <c r="V142" i="2"/>
  <c r="U57" i="2"/>
  <c r="V131" i="2"/>
  <c r="W200" i="2"/>
  <c r="U115" i="2"/>
  <c r="W29" i="2"/>
  <c r="V61" i="2"/>
  <c r="U93" i="2"/>
  <c r="W7" i="2"/>
  <c r="W124" i="2"/>
  <c r="V39" i="2"/>
  <c r="V156" i="2"/>
  <c r="U71" i="2"/>
  <c r="V188" i="2"/>
  <c r="W160" i="2"/>
  <c r="V75" i="2"/>
  <c r="U107" i="2"/>
  <c r="U48" i="2"/>
  <c r="W159" i="2"/>
  <c r="W191" i="2"/>
  <c r="Z177" i="2"/>
  <c r="Y177" i="2"/>
  <c r="G177" i="2" a="1"/>
  <c r="G177" i="2" s="1"/>
  <c r="Z161" i="2"/>
  <c r="G161" i="2" a="1"/>
  <c r="G161" i="2" s="1"/>
  <c r="Z129" i="2"/>
  <c r="Y129" i="2"/>
  <c r="G129" i="2" a="1"/>
  <c r="G129" i="2" s="1"/>
  <c r="Z97" i="2"/>
  <c r="G97" i="2" a="1"/>
  <c r="G97" i="2" s="1"/>
  <c r="Z81" i="2"/>
  <c r="G81" i="2" a="1"/>
  <c r="G81" i="2" s="1"/>
  <c r="Z65" i="2"/>
  <c r="G65" i="2" a="1"/>
  <c r="G65" i="2" s="1"/>
  <c r="G49" i="2" a="1"/>
  <c r="G49" i="2" s="1"/>
  <c r="Z33" i="2"/>
  <c r="G33" i="2" a="1"/>
  <c r="G33" i="2" s="1"/>
  <c r="G17" i="2" a="1"/>
  <c r="G17" i="2" s="1"/>
  <c r="Z192" i="2"/>
  <c r="Y192" i="2"/>
  <c r="G192" i="2" a="1"/>
  <c r="G192" i="2" s="1"/>
  <c r="Z80" i="2"/>
  <c r="G80" i="2" a="1"/>
  <c r="G80" i="2" s="1"/>
  <c r="W33" i="2"/>
  <c r="Y174" i="2"/>
  <c r="G174" i="2" a="1"/>
  <c r="G174" i="2" s="1"/>
  <c r="G126" i="2" a="1"/>
  <c r="G126" i="2" s="1"/>
  <c r="Z46" i="2"/>
  <c r="G46" i="2" a="1"/>
  <c r="G46" i="2" s="1"/>
  <c r="Z186" i="2"/>
  <c r="Y186" i="2"/>
  <c r="G186" i="2" a="1"/>
  <c r="G186" i="2" s="1"/>
  <c r="Z182" i="2"/>
  <c r="G182" i="2" a="1"/>
  <c r="G182" i="2" s="1"/>
  <c r="Y182" i="2"/>
  <c r="G134" i="2" a="1"/>
  <c r="G134" i="2" s="1"/>
  <c r="Z102" i="2"/>
  <c r="G102" i="2" a="1"/>
  <c r="G102" i="2" s="1"/>
  <c r="Y102" i="2"/>
  <c r="G38" i="2" a="1"/>
  <c r="G38" i="2" s="1"/>
  <c r="Y38" i="2"/>
  <c r="V15" i="2"/>
  <c r="U126" i="2"/>
  <c r="U151" i="2"/>
  <c r="W65" i="2"/>
  <c r="W182" i="2"/>
  <c r="V97" i="2"/>
  <c r="U128" i="2"/>
  <c r="Z197" i="2"/>
  <c r="G197" i="2" a="1"/>
  <c r="G197" i="2" s="1"/>
  <c r="Z181" i="2"/>
  <c r="G181" i="2" a="1"/>
  <c r="G181" i="2" s="1"/>
  <c r="Y181" i="2"/>
  <c r="G165" i="2" a="1"/>
  <c r="G165" i="2" s="1"/>
  <c r="Y165" i="2"/>
  <c r="Z149" i="2"/>
  <c r="G149" i="2" a="1"/>
  <c r="G149" i="2" s="1"/>
  <c r="Z133" i="2"/>
  <c r="G133" i="2" a="1"/>
  <c r="G133" i="2" s="1"/>
  <c r="Y133" i="2"/>
  <c r="Z117" i="2"/>
  <c r="G117" i="2" a="1"/>
  <c r="G117" i="2" s="1"/>
  <c r="Y117" i="2"/>
  <c r="Z101" i="2"/>
  <c r="G101" i="2" a="1"/>
  <c r="G101" i="2" s="1"/>
  <c r="Y101" i="2"/>
  <c r="Z85" i="2"/>
  <c r="G85" i="2" a="1"/>
  <c r="G85" i="2" s="1"/>
  <c r="Z69" i="2"/>
  <c r="G69" i="2" a="1"/>
  <c r="G69" i="2" s="1"/>
  <c r="Y69" i="2"/>
  <c r="Z53" i="2"/>
  <c r="G53" i="2" a="1"/>
  <c r="G53" i="2" s="1"/>
  <c r="Z37" i="2"/>
  <c r="G37" i="2" a="1"/>
  <c r="G37" i="2" s="1"/>
  <c r="Y37" i="2"/>
  <c r="Z21" i="2"/>
  <c r="G21" i="2" a="1"/>
  <c r="G21" i="2" s="1"/>
  <c r="U143" i="2"/>
  <c r="W57" i="2"/>
  <c r="W78" i="2"/>
  <c r="V89" i="2"/>
  <c r="V46" i="2"/>
  <c r="V206" i="2"/>
  <c r="W120" i="2"/>
  <c r="U190" i="2"/>
  <c r="V104" i="2"/>
  <c r="U136" i="2"/>
  <c r="W167" i="2"/>
  <c r="W199" i="2"/>
  <c r="W28" i="2"/>
  <c r="W145" i="2"/>
  <c r="V60" i="2"/>
  <c r="V177" i="2"/>
  <c r="U92" i="2"/>
  <c r="U183" i="2"/>
  <c r="W123" i="2"/>
  <c r="V38" i="2"/>
  <c r="W64" i="2"/>
  <c r="W181" i="2"/>
  <c r="V96" i="2"/>
  <c r="U11" i="2"/>
  <c r="V37" i="2"/>
  <c r="U149" i="2"/>
  <c r="W63" i="2"/>
  <c r="V95" i="2"/>
  <c r="G138" i="2" a="1"/>
  <c r="G138" i="2" s="1"/>
  <c r="Z198" i="2"/>
  <c r="G198" i="2" a="1"/>
  <c r="G198" i="2" s="1"/>
  <c r="Y198" i="2"/>
  <c r="W87" i="2"/>
  <c r="V119" i="2"/>
  <c r="Z196" i="2"/>
  <c r="G196" i="2" a="1"/>
  <c r="G196" i="2" s="1"/>
  <c r="Z180" i="2"/>
  <c r="G180" i="2" a="1"/>
  <c r="G180" i="2" s="1"/>
  <c r="Y180" i="2"/>
  <c r="G164" i="2" a="1"/>
  <c r="G164" i="2" s="1"/>
  <c r="Z148" i="2"/>
  <c r="G148" i="2" a="1"/>
  <c r="G148" i="2" s="1"/>
  <c r="Z132" i="2"/>
  <c r="G132" i="2" a="1"/>
  <c r="G132" i="2" s="1"/>
  <c r="G116" i="2" a="1"/>
  <c r="G116" i="2" s="1"/>
  <c r="Y116" i="2"/>
  <c r="Z100" i="2"/>
  <c r="G100" i="2" a="1"/>
  <c r="G100" i="2" s="1"/>
  <c r="Y100" i="2"/>
  <c r="Z84" i="2"/>
  <c r="G84" i="2" a="1"/>
  <c r="G84" i="2" s="1"/>
  <c r="Z68" i="2"/>
  <c r="G68" i="2" a="1"/>
  <c r="G68" i="2" s="1"/>
  <c r="Z52" i="2"/>
  <c r="G52" i="2" a="1"/>
  <c r="G52" i="2" s="1"/>
  <c r="Z36" i="2"/>
  <c r="G36" i="2" a="1"/>
  <c r="G36" i="2" s="1"/>
  <c r="Y36" i="2"/>
  <c r="G20" i="2" a="1"/>
  <c r="G20" i="2" s="1"/>
  <c r="W137" i="2"/>
  <c r="V52" i="2"/>
  <c r="V57" i="2"/>
  <c r="W62" i="2"/>
  <c r="V126" i="2"/>
  <c r="U41" i="2"/>
  <c r="U201" i="2"/>
  <c r="U30" i="2"/>
  <c r="W184" i="2"/>
  <c r="W13" i="2"/>
  <c r="V45" i="2"/>
  <c r="U77" i="2"/>
  <c r="W108" i="2"/>
  <c r="V23" i="2"/>
  <c r="V140" i="2"/>
  <c r="U55" i="2"/>
  <c r="U172" i="2"/>
  <c r="U204" i="2"/>
  <c r="U33" i="2"/>
  <c r="W144" i="2"/>
  <c r="V59" i="2"/>
  <c r="V176" i="2"/>
  <c r="U91" i="2"/>
  <c r="U203" i="2"/>
  <c r="V117" i="2"/>
  <c r="U32" i="2"/>
  <c r="W143" i="2"/>
  <c r="V175" i="2"/>
  <c r="V94" i="2"/>
  <c r="W174" i="2"/>
  <c r="Z202" i="2"/>
  <c r="Y202" i="2"/>
  <c r="G202" i="2" a="1"/>
  <c r="G202" i="2" s="1"/>
  <c r="Z170" i="2"/>
  <c r="G170" i="2" a="1"/>
  <c r="G170" i="2" s="1"/>
  <c r="Z154" i="2"/>
  <c r="G154" i="2" a="1"/>
  <c r="G154" i="2" s="1"/>
  <c r="Z122" i="2"/>
  <c r="G122" i="2" a="1"/>
  <c r="G122" i="2" s="1"/>
  <c r="Y106" i="2"/>
  <c r="G106" i="2" a="1"/>
  <c r="G106" i="2" s="1"/>
  <c r="Z90" i="2"/>
  <c r="G90" i="2" a="1"/>
  <c r="G90" i="2" s="1"/>
  <c r="Z74" i="2"/>
  <c r="G74" i="2" a="1"/>
  <c r="G74" i="2" s="1"/>
  <c r="Z58" i="2"/>
  <c r="G58" i="2" a="1"/>
  <c r="G58" i="2" s="1"/>
  <c r="G26" i="2" a="1"/>
  <c r="G26" i="2" s="1"/>
  <c r="Z10" i="2"/>
  <c r="Y10" i="2"/>
  <c r="G10" i="2" a="1"/>
  <c r="G10" i="2" s="1"/>
  <c r="Z150" i="2"/>
  <c r="G150" i="2" a="1"/>
  <c r="G150" i="2" s="1"/>
  <c r="Z118" i="2"/>
  <c r="G118" i="2" a="1"/>
  <c r="G118" i="2" s="1"/>
  <c r="Y118" i="2"/>
  <c r="G86" i="2" a="1"/>
  <c r="G86" i="2" s="1"/>
  <c r="Z70" i="2"/>
  <c r="G70" i="2" a="1"/>
  <c r="G70" i="2" s="1"/>
  <c r="Y70" i="2"/>
  <c r="Z54" i="2"/>
  <c r="G54" i="2" a="1"/>
  <c r="G54" i="2" s="1"/>
  <c r="Z22" i="2"/>
  <c r="G22" i="2" a="1"/>
  <c r="G22" i="2" s="1"/>
  <c r="Z195" i="2"/>
  <c r="Z179" i="2"/>
  <c r="G179" i="2" a="1"/>
  <c r="G179" i="2" s="1"/>
  <c r="Y179" i="2"/>
  <c r="Z163" i="2"/>
  <c r="G163" i="2" a="1"/>
  <c r="G163" i="2" s="1"/>
  <c r="Y163" i="2"/>
  <c r="Z147" i="2"/>
  <c r="G147" i="2" a="1"/>
  <c r="G147" i="2" s="1"/>
  <c r="G131" i="2" a="1"/>
  <c r="G131" i="2" s="1"/>
  <c r="G115" i="2" a="1"/>
  <c r="G115" i="2" s="1"/>
  <c r="Y115" i="2"/>
  <c r="Z99" i="2"/>
  <c r="G99" i="2" a="1"/>
  <c r="G99" i="2" s="1"/>
  <c r="Z83" i="2"/>
  <c r="G83" i="2" a="1"/>
  <c r="G83" i="2" s="1"/>
  <c r="G67" i="2" a="1"/>
  <c r="G67" i="2" s="1"/>
  <c r="Z51" i="2"/>
  <c r="G51" i="2" a="1"/>
  <c r="G51" i="2" s="1"/>
  <c r="Z35" i="2"/>
  <c r="G35" i="2" a="1"/>
  <c r="G35" i="2" s="1"/>
  <c r="Z19" i="2"/>
  <c r="G19" i="2" a="1"/>
  <c r="G19" i="2" s="1"/>
  <c r="Y19" i="2"/>
  <c r="V132" i="2"/>
  <c r="U47" i="2"/>
  <c r="U52" i="2"/>
  <c r="W206" i="2"/>
  <c r="U121" i="2"/>
  <c r="W35" i="2"/>
  <c r="W195" i="2"/>
  <c r="U110" i="2"/>
  <c r="W24" i="2"/>
  <c r="U179" i="2"/>
  <c r="W93" i="2"/>
  <c r="V8" i="2"/>
  <c r="V125" i="2"/>
  <c r="U40" i="2"/>
  <c r="U157" i="2"/>
  <c r="W71" i="2"/>
  <c r="U189" i="2"/>
  <c r="V103" i="2"/>
  <c r="U135" i="2"/>
  <c r="W49" i="2"/>
  <c r="V81" i="2"/>
  <c r="W198" i="2"/>
  <c r="U113" i="2"/>
  <c r="W27" i="2"/>
  <c r="V139" i="2"/>
  <c r="U54" i="2"/>
  <c r="U171" i="2"/>
  <c r="W85" i="2"/>
  <c r="W197" i="2"/>
  <c r="U112" i="2"/>
  <c r="W26" i="2"/>
  <c r="V138" i="2"/>
  <c r="U53" i="2"/>
  <c r="U170" i="2"/>
  <c r="W84" i="2"/>
  <c r="Z166" i="2"/>
  <c r="G166" i="2" a="1"/>
  <c r="G166" i="2" s="1"/>
  <c r="U129" i="2"/>
  <c r="V16" i="2"/>
  <c r="V186" i="2"/>
  <c r="Z194" i="2"/>
  <c r="Y194" i="2"/>
  <c r="G194" i="2" a="1"/>
  <c r="G194" i="2" s="1"/>
  <c r="Z178" i="2"/>
  <c r="G178" i="2" a="1"/>
  <c r="G178" i="2" s="1"/>
  <c r="Y178" i="2"/>
  <c r="Z162" i="2"/>
  <c r="G162" i="2" a="1"/>
  <c r="G162" i="2" s="1"/>
  <c r="G146" i="2" a="1"/>
  <c r="G146" i="2" s="1"/>
  <c r="Y146" i="2"/>
  <c r="G130" i="2" a="1"/>
  <c r="G130" i="2" s="1"/>
  <c r="Z114" i="2"/>
  <c r="G114" i="2" a="1"/>
  <c r="G114" i="2" s="1"/>
  <c r="Y114" i="2"/>
  <c r="Z98" i="2"/>
  <c r="G98" i="2" a="1"/>
  <c r="G98" i="2" s="1"/>
  <c r="Z82" i="2"/>
  <c r="G82" i="2" a="1"/>
  <c r="G82" i="2" s="1"/>
  <c r="Z66" i="2"/>
  <c r="G66" i="2" a="1"/>
  <c r="G66" i="2" s="1"/>
  <c r="Z50" i="2"/>
  <c r="Y50" i="2"/>
  <c r="G50" i="2" a="1"/>
  <c r="G50" i="2" s="1"/>
  <c r="Z34" i="2"/>
  <c r="G34" i="2" a="1"/>
  <c r="G34" i="2" s="1"/>
  <c r="Z18" i="2"/>
  <c r="G18" i="2" a="1"/>
  <c r="G18" i="2" s="1"/>
  <c r="U127" i="2"/>
  <c r="W41" i="2"/>
  <c r="W46" i="2"/>
  <c r="V201" i="2"/>
  <c r="W115" i="2"/>
  <c r="V30" i="2"/>
  <c r="V190" i="2"/>
  <c r="W104" i="2"/>
  <c r="V19" i="2"/>
  <c r="W173" i="2"/>
  <c r="V88" i="2"/>
  <c r="W205" i="2"/>
  <c r="U120" i="2"/>
  <c r="W34" i="2"/>
  <c r="W151" i="2"/>
  <c r="V66" i="2"/>
  <c r="W183" i="2"/>
  <c r="U98" i="2"/>
  <c r="W12" i="2"/>
  <c r="W129" i="2"/>
  <c r="V44" i="2"/>
  <c r="V161" i="2"/>
  <c r="U76" i="2"/>
  <c r="V193" i="2"/>
  <c r="W107" i="2"/>
  <c r="V22" i="2"/>
  <c r="U134" i="2"/>
  <c r="W48" i="2"/>
  <c r="W165" i="2"/>
  <c r="V80" i="2"/>
  <c r="V192" i="2"/>
  <c r="W106" i="2"/>
  <c r="V21" i="2"/>
  <c r="U133" i="2"/>
  <c r="W47" i="2"/>
  <c r="W164" i="2"/>
  <c r="V79" i="2"/>
  <c r="Z86" i="2"/>
  <c r="Z38" i="2"/>
  <c r="Z164" i="2"/>
  <c r="Z116" i="2"/>
  <c r="Z32" i="2"/>
  <c r="Z15" i="2"/>
  <c r="Z203" i="2"/>
  <c r="Z39" i="2"/>
  <c r="Z165" i="2"/>
  <c r="Z146" i="2"/>
  <c r="Z20" i="2"/>
  <c r="Z115" i="2"/>
  <c r="Z130" i="2"/>
  <c r="Z49" i="2"/>
  <c r="Z176" i="2"/>
  <c r="AC207" i="2"/>
  <c r="Z7" i="2"/>
  <c r="Z205" i="2"/>
  <c r="Z125" i="2"/>
  <c r="Z28" i="2"/>
  <c r="Z138" i="2"/>
  <c r="L207" i="2"/>
  <c r="O186" i="2"/>
  <c r="N77" i="2"/>
  <c r="N127" i="2"/>
  <c r="Z127" i="2"/>
  <c r="N79" i="2"/>
  <c r="Z79" i="2"/>
  <c r="N63" i="2"/>
  <c r="Z63" i="2"/>
  <c r="O7" i="2"/>
  <c r="M206" i="2"/>
  <c r="Z206" i="2"/>
  <c r="M174" i="2"/>
  <c r="Z174" i="2"/>
  <c r="P158" i="2"/>
  <c r="Z158" i="2"/>
  <c r="N126" i="2"/>
  <c r="Z126" i="2"/>
  <c r="N62" i="2"/>
  <c r="Z62" i="2"/>
  <c r="P157" i="2"/>
  <c r="Z157" i="2"/>
  <c r="N61" i="2"/>
  <c r="Z61" i="2"/>
  <c r="P13" i="2"/>
  <c r="AE145" i="2"/>
  <c r="Z145" i="2"/>
  <c r="Q172" i="2"/>
  <c r="Z172" i="2"/>
  <c r="O156" i="2"/>
  <c r="Z156" i="2"/>
  <c r="Q124" i="2"/>
  <c r="Z124" i="2"/>
  <c r="O108" i="2"/>
  <c r="Z108" i="2"/>
  <c r="C12" i="2"/>
  <c r="Z12" i="2"/>
  <c r="P12" i="2"/>
  <c r="C11" i="2"/>
  <c r="Z11" i="2"/>
  <c r="O106" i="2"/>
  <c r="Z106" i="2"/>
  <c r="Z26" i="2"/>
  <c r="AD27" i="2"/>
  <c r="O187" i="2"/>
  <c r="Z187" i="2"/>
  <c r="AF185" i="2"/>
  <c r="Z185" i="2"/>
  <c r="P105" i="2"/>
  <c r="Z105" i="2"/>
  <c r="AD41" i="2"/>
  <c r="Z41" i="2"/>
  <c r="P9" i="2"/>
  <c r="Z9" i="2"/>
  <c r="AD26" i="2"/>
  <c r="B105" i="2"/>
  <c r="M104" i="2"/>
  <c r="P134" i="2"/>
  <c r="Z134" i="2"/>
  <c r="M94" i="2"/>
  <c r="N160" i="2"/>
  <c r="N159" i="2"/>
  <c r="P131" i="2"/>
  <c r="Z131" i="2"/>
  <c r="B67" i="2"/>
  <c r="Z67" i="2"/>
  <c r="N78" i="2"/>
  <c r="Q84" i="2"/>
  <c r="M110" i="2"/>
  <c r="N174" i="2"/>
  <c r="O9" i="2"/>
  <c r="P41" i="2"/>
  <c r="AF9" i="2"/>
  <c r="O66" i="2"/>
  <c r="AE50" i="2"/>
  <c r="M88" i="2"/>
  <c r="N158" i="2"/>
  <c r="O157" i="2"/>
  <c r="P159" i="2"/>
  <c r="AE147" i="2"/>
  <c r="B65" i="2"/>
  <c r="AD192" i="2"/>
  <c r="P176" i="2"/>
  <c r="P160" i="2"/>
  <c r="O128" i="2"/>
  <c r="N112" i="2"/>
  <c r="P96" i="2"/>
  <c r="N80" i="2"/>
  <c r="P64" i="2"/>
  <c r="N48" i="2"/>
  <c r="P32" i="2"/>
  <c r="N16" i="2"/>
  <c r="M72" i="2"/>
  <c r="N144" i="2"/>
  <c r="Q174" i="2"/>
  <c r="AE146" i="2"/>
  <c r="B66" i="2"/>
  <c r="AE67" i="2"/>
  <c r="P63" i="2"/>
  <c r="P31" i="2"/>
  <c r="O15" i="2"/>
  <c r="M200" i="2"/>
  <c r="K200" i="2" s="1"/>
  <c r="M56" i="2"/>
  <c r="N143" i="2"/>
  <c r="O136" i="2"/>
  <c r="C24" i="2"/>
  <c r="Q158" i="2"/>
  <c r="P94" i="2"/>
  <c r="O78" i="2"/>
  <c r="P62" i="2"/>
  <c r="P46" i="2"/>
  <c r="P30" i="2"/>
  <c r="P14" i="2"/>
  <c r="M190" i="2"/>
  <c r="M40" i="2"/>
  <c r="N142" i="2"/>
  <c r="N47" i="2"/>
  <c r="O113" i="2"/>
  <c r="Q132" i="2"/>
  <c r="AE66" i="2"/>
  <c r="AE130" i="2"/>
  <c r="Q7" i="2"/>
  <c r="M184" i="2"/>
  <c r="M24" i="2"/>
  <c r="N128" i="2"/>
  <c r="N46" i="2"/>
  <c r="P132" i="2"/>
  <c r="AE65" i="2"/>
  <c r="M193" i="2"/>
  <c r="P95" i="2"/>
  <c r="Q206" i="2"/>
  <c r="P93" i="2"/>
  <c r="M45" i="2"/>
  <c r="O204" i="2"/>
  <c r="AA188" i="2"/>
  <c r="P172" i="2"/>
  <c r="Q156" i="2"/>
  <c r="N140" i="2"/>
  <c r="O124" i="2"/>
  <c r="Q108" i="2"/>
  <c r="P92" i="2"/>
  <c r="O76" i="2"/>
  <c r="AA60" i="2"/>
  <c r="Q44" i="2"/>
  <c r="P28" i="2"/>
  <c r="Q12" i="2"/>
  <c r="M8" i="2"/>
  <c r="N45" i="2"/>
  <c r="Q76" i="2"/>
  <c r="AE51" i="2"/>
  <c r="M145" i="2"/>
  <c r="M173" i="2"/>
  <c r="N157" i="2"/>
  <c r="M109" i="2"/>
  <c r="M77" i="2"/>
  <c r="L77" i="2" s="1"/>
  <c r="AF203" i="2"/>
  <c r="N187" i="2"/>
  <c r="C171" i="2"/>
  <c r="AD155" i="2"/>
  <c r="AF139" i="2"/>
  <c r="AF123" i="2"/>
  <c r="N107" i="2"/>
  <c r="AD91" i="2"/>
  <c r="AD75" i="2"/>
  <c r="AD59" i="2"/>
  <c r="AF43" i="2"/>
  <c r="O27" i="2"/>
  <c r="AD11" i="2"/>
  <c r="M168" i="2"/>
  <c r="M7" i="2"/>
  <c r="N31" i="2"/>
  <c r="O65" i="2"/>
  <c r="P108" i="2"/>
  <c r="B177" i="2"/>
  <c r="AE161" i="2"/>
  <c r="AE129" i="2"/>
  <c r="O79" i="2"/>
  <c r="AF202" i="2"/>
  <c r="N186" i="2"/>
  <c r="C170" i="2"/>
  <c r="AD154" i="2"/>
  <c r="AF138" i="2"/>
  <c r="AF122" i="2"/>
  <c r="N106" i="2"/>
  <c r="AD90" i="2"/>
  <c r="O74" i="2"/>
  <c r="AD58" i="2"/>
  <c r="AF42" i="2"/>
  <c r="N26" i="2"/>
  <c r="AD10" i="2"/>
  <c r="M158" i="2"/>
  <c r="K158" i="2" s="1"/>
  <c r="N206" i="2"/>
  <c r="N111" i="2"/>
  <c r="N30" i="2"/>
  <c r="O64" i="2"/>
  <c r="AD187" i="2"/>
  <c r="AF171" i="2"/>
  <c r="AE49" i="2"/>
  <c r="P175" i="2"/>
  <c r="P127" i="2"/>
  <c r="P174" i="2"/>
  <c r="O126" i="2"/>
  <c r="M189" i="2"/>
  <c r="M125" i="2"/>
  <c r="M61" i="2"/>
  <c r="AF201" i="2"/>
  <c r="N185" i="2"/>
  <c r="O169" i="2"/>
  <c r="AD153" i="2"/>
  <c r="B137" i="2"/>
  <c r="AF121" i="2"/>
  <c r="N105" i="2"/>
  <c r="P89" i="2"/>
  <c r="C73" i="2"/>
  <c r="AD57" i="2"/>
  <c r="AF41" i="2"/>
  <c r="O25" i="2"/>
  <c r="AD9" i="2"/>
  <c r="M152" i="2"/>
  <c r="N192" i="2"/>
  <c r="N110" i="2"/>
  <c r="N29" i="2"/>
  <c r="O63" i="2"/>
  <c r="P77" i="2"/>
  <c r="AD186" i="2"/>
  <c r="AF170" i="2"/>
  <c r="O196" i="2"/>
  <c r="M142" i="2"/>
  <c r="N191" i="2"/>
  <c r="N109" i="2"/>
  <c r="N15" i="2"/>
  <c r="O43" i="2"/>
  <c r="P76" i="2"/>
  <c r="AD185" i="2"/>
  <c r="AF91" i="2"/>
  <c r="AE131" i="2"/>
  <c r="O115" i="2"/>
  <c r="M183" i="2"/>
  <c r="P151" i="2"/>
  <c r="N135" i="2"/>
  <c r="M119" i="2"/>
  <c r="N103" i="2"/>
  <c r="O87" i="2"/>
  <c r="Q71" i="2"/>
  <c r="N39" i="2"/>
  <c r="N23" i="2"/>
  <c r="M136" i="2"/>
  <c r="N190" i="2"/>
  <c r="N95" i="2"/>
  <c r="N14" i="2"/>
  <c r="O42" i="2"/>
  <c r="P73" i="2"/>
  <c r="AD122" i="2"/>
  <c r="AF90" i="2"/>
  <c r="B195" i="2"/>
  <c r="B194" i="2"/>
  <c r="P199" i="2"/>
  <c r="Q167" i="2"/>
  <c r="N198" i="2"/>
  <c r="P182" i="2"/>
  <c r="Q166" i="2"/>
  <c r="N134" i="2"/>
  <c r="N102" i="2"/>
  <c r="N38" i="2"/>
  <c r="Q22" i="2"/>
  <c r="M126" i="2"/>
  <c r="K126" i="2" s="1"/>
  <c r="N176" i="2"/>
  <c r="N94" i="2"/>
  <c r="N13" i="2"/>
  <c r="O41" i="2"/>
  <c r="P45" i="2"/>
  <c r="AD121" i="2"/>
  <c r="AF89" i="2"/>
  <c r="Q180" i="2"/>
  <c r="N118" i="2"/>
  <c r="N70" i="2"/>
  <c r="N197" i="2"/>
  <c r="N181" i="2"/>
  <c r="Q165" i="2"/>
  <c r="N149" i="2"/>
  <c r="M133" i="2"/>
  <c r="M117" i="2"/>
  <c r="N101" i="2"/>
  <c r="M85" i="2"/>
  <c r="N69" i="2"/>
  <c r="O53" i="2"/>
  <c r="O37" i="2"/>
  <c r="M21" i="2"/>
  <c r="M120" i="2"/>
  <c r="N175" i="2"/>
  <c r="N93" i="2"/>
  <c r="O189" i="2"/>
  <c r="O12" i="2"/>
  <c r="P44" i="2"/>
  <c r="AD107" i="2"/>
  <c r="AF10" i="2"/>
  <c r="AO6" i="4"/>
  <c r="D150" i="2"/>
  <c r="B150" i="2"/>
  <c r="AA150" i="2"/>
  <c r="C150" i="2"/>
  <c r="AB150" i="2"/>
  <c r="AE150" i="2"/>
  <c r="AF150" i="2"/>
  <c r="AD150" i="2"/>
  <c r="C205" i="2"/>
  <c r="AB205" i="2"/>
  <c r="D205" i="2"/>
  <c r="AF205" i="2"/>
  <c r="AD205" i="2"/>
  <c r="AA205" i="2"/>
  <c r="Q205" i="2"/>
  <c r="B205" i="2"/>
  <c r="AE205" i="2"/>
  <c r="C141" i="2"/>
  <c r="AB141" i="2"/>
  <c r="D141" i="2"/>
  <c r="B141" i="2"/>
  <c r="AF141" i="2"/>
  <c r="AD141" i="2"/>
  <c r="Q141" i="2"/>
  <c r="AE141" i="2"/>
  <c r="AA141" i="2"/>
  <c r="C29" i="2"/>
  <c r="AB29" i="2"/>
  <c r="D29" i="2"/>
  <c r="B29" i="2"/>
  <c r="AF29" i="2"/>
  <c r="AD29" i="2"/>
  <c r="Q29" i="2"/>
  <c r="AE29" i="2"/>
  <c r="AA29" i="2"/>
  <c r="AB200" i="2"/>
  <c r="D200" i="2"/>
  <c r="AA200" i="2"/>
  <c r="B200" i="2"/>
  <c r="AE200" i="2"/>
  <c r="C200" i="2"/>
  <c r="P200" i="2"/>
  <c r="AF200" i="2"/>
  <c r="Q200" i="2"/>
  <c r="AB184" i="2"/>
  <c r="D184" i="2"/>
  <c r="AA184" i="2"/>
  <c r="C184" i="2"/>
  <c r="B184" i="2"/>
  <c r="AE184" i="2"/>
  <c r="P184" i="2"/>
  <c r="AF184" i="2"/>
  <c r="Q184" i="2"/>
  <c r="AB168" i="2"/>
  <c r="D168" i="2"/>
  <c r="AA168" i="2"/>
  <c r="B168" i="2"/>
  <c r="AE168" i="2"/>
  <c r="P168" i="2"/>
  <c r="C168" i="2"/>
  <c r="AF168" i="2"/>
  <c r="Q168" i="2"/>
  <c r="AB152" i="2"/>
  <c r="D152" i="2"/>
  <c r="B152" i="2"/>
  <c r="AA152" i="2"/>
  <c r="AE152" i="2"/>
  <c r="C152" i="2"/>
  <c r="P152" i="2"/>
  <c r="AF152" i="2"/>
  <c r="AD152" i="2"/>
  <c r="Q152" i="2"/>
  <c r="AB136" i="2"/>
  <c r="D136" i="2"/>
  <c r="B136" i="2"/>
  <c r="AA136" i="2"/>
  <c r="C136" i="2"/>
  <c r="AE136" i="2"/>
  <c r="P136" i="2"/>
  <c r="AF136" i="2"/>
  <c r="AD136" i="2"/>
  <c r="Q136" i="2"/>
  <c r="AB120" i="2"/>
  <c r="D120" i="2"/>
  <c r="B120" i="2"/>
  <c r="AA120" i="2"/>
  <c r="AE120" i="2"/>
  <c r="P120" i="2"/>
  <c r="AF120" i="2"/>
  <c r="AD120" i="2"/>
  <c r="Q120" i="2"/>
  <c r="AB104" i="2"/>
  <c r="D104" i="2"/>
  <c r="B104" i="2"/>
  <c r="AA104" i="2"/>
  <c r="AE104" i="2"/>
  <c r="C104" i="2"/>
  <c r="P104" i="2"/>
  <c r="AF104" i="2"/>
  <c r="AD104" i="2"/>
  <c r="Q104" i="2"/>
  <c r="AB88" i="2"/>
  <c r="D88" i="2"/>
  <c r="B88" i="2"/>
  <c r="AA88" i="2"/>
  <c r="C88" i="2"/>
  <c r="AE88" i="2"/>
  <c r="P88" i="2"/>
  <c r="AF88" i="2"/>
  <c r="AD88" i="2"/>
  <c r="Q88" i="2"/>
  <c r="AB72" i="2"/>
  <c r="D72" i="2"/>
  <c r="B72" i="2"/>
  <c r="AA72" i="2"/>
  <c r="AE72" i="2"/>
  <c r="P72" i="2"/>
  <c r="AF72" i="2"/>
  <c r="AD72" i="2"/>
  <c r="Q72" i="2"/>
  <c r="AB56" i="2"/>
  <c r="D56" i="2"/>
  <c r="B56" i="2"/>
  <c r="AA56" i="2"/>
  <c r="AE56" i="2"/>
  <c r="P56" i="2"/>
  <c r="C56" i="2"/>
  <c r="AF56" i="2"/>
  <c r="AD56" i="2"/>
  <c r="Q56" i="2"/>
  <c r="AB40" i="2"/>
  <c r="D40" i="2"/>
  <c r="B40" i="2"/>
  <c r="AA40" i="2"/>
  <c r="C40" i="2"/>
  <c r="AE40" i="2"/>
  <c r="P40" i="2"/>
  <c r="AF40" i="2"/>
  <c r="AD40" i="2"/>
  <c r="Q40" i="2"/>
  <c r="AB24" i="2"/>
  <c r="D24" i="2"/>
  <c r="B24" i="2"/>
  <c r="AA24" i="2"/>
  <c r="AE24" i="2"/>
  <c r="P24" i="2"/>
  <c r="AF24" i="2"/>
  <c r="AD24" i="2"/>
  <c r="Q24" i="2"/>
  <c r="AB8" i="2"/>
  <c r="D8" i="2"/>
  <c r="B8" i="2"/>
  <c r="AA8" i="2"/>
  <c r="AE8" i="2"/>
  <c r="P8" i="2"/>
  <c r="C8" i="2"/>
  <c r="AF8" i="2"/>
  <c r="AD8" i="2"/>
  <c r="Q8" i="2"/>
  <c r="M201" i="2"/>
  <c r="M185" i="2"/>
  <c r="M169" i="2"/>
  <c r="M153" i="2"/>
  <c r="M137" i="2"/>
  <c r="M121" i="2"/>
  <c r="M105" i="2"/>
  <c r="M89" i="2"/>
  <c r="M73" i="2"/>
  <c r="M57" i="2"/>
  <c r="M41" i="2"/>
  <c r="M25" i="2"/>
  <c r="M9" i="2"/>
  <c r="N193" i="2"/>
  <c r="N177" i="2"/>
  <c r="N161" i="2"/>
  <c r="N145" i="2"/>
  <c r="N129" i="2"/>
  <c r="N96" i="2"/>
  <c r="N64" i="2"/>
  <c r="N32" i="2"/>
  <c r="O160" i="2"/>
  <c r="O137" i="2"/>
  <c r="O88" i="2"/>
  <c r="O44" i="2"/>
  <c r="P188" i="2"/>
  <c r="P135" i="2"/>
  <c r="P109" i="2"/>
  <c r="P78" i="2"/>
  <c r="Q133" i="2"/>
  <c r="Q28" i="2"/>
  <c r="AD123" i="2"/>
  <c r="AD42" i="2"/>
  <c r="AF186" i="2"/>
  <c r="AF105" i="2"/>
  <c r="AF11" i="2"/>
  <c r="B107" i="2"/>
  <c r="C60" i="2"/>
  <c r="D86" i="2"/>
  <c r="B86" i="2"/>
  <c r="AA86" i="2"/>
  <c r="C86" i="2"/>
  <c r="AB86" i="2"/>
  <c r="AE86" i="2"/>
  <c r="AF86" i="2"/>
  <c r="AD86" i="2"/>
  <c r="M71" i="2"/>
  <c r="AA196" i="2"/>
  <c r="C196" i="2"/>
  <c r="AB196" i="2"/>
  <c r="AF196" i="2"/>
  <c r="AD196" i="2"/>
  <c r="D196" i="2"/>
  <c r="B196" i="2"/>
  <c r="AE196" i="2"/>
  <c r="AA180" i="2"/>
  <c r="C180" i="2"/>
  <c r="D180" i="2"/>
  <c r="AB180" i="2"/>
  <c r="AF180" i="2"/>
  <c r="AD180" i="2"/>
  <c r="B180" i="2"/>
  <c r="AE180" i="2"/>
  <c r="AA164" i="2"/>
  <c r="C164" i="2"/>
  <c r="AB164" i="2"/>
  <c r="AF164" i="2"/>
  <c r="AD164" i="2"/>
  <c r="B164" i="2"/>
  <c r="AE164" i="2"/>
  <c r="AA148" i="2"/>
  <c r="C148" i="2"/>
  <c r="AB148" i="2"/>
  <c r="B148" i="2"/>
  <c r="AF148" i="2"/>
  <c r="AD148" i="2"/>
  <c r="D148" i="2"/>
  <c r="AE148" i="2"/>
  <c r="AA132" i="2"/>
  <c r="C132" i="2"/>
  <c r="D132" i="2"/>
  <c r="AF132" i="2"/>
  <c r="AD132" i="2"/>
  <c r="AE132" i="2"/>
  <c r="AA116" i="2"/>
  <c r="C116" i="2"/>
  <c r="B116" i="2"/>
  <c r="AF116" i="2"/>
  <c r="AD116" i="2"/>
  <c r="D116" i="2"/>
  <c r="AE116" i="2"/>
  <c r="AA100" i="2"/>
  <c r="C100" i="2"/>
  <c r="AF100" i="2"/>
  <c r="AD100" i="2"/>
  <c r="AB100" i="2"/>
  <c r="D100" i="2"/>
  <c r="B100" i="2"/>
  <c r="AE100" i="2"/>
  <c r="AA84" i="2"/>
  <c r="C84" i="2"/>
  <c r="B84" i="2"/>
  <c r="D84" i="2"/>
  <c r="AF84" i="2"/>
  <c r="AD84" i="2"/>
  <c r="AB84" i="2"/>
  <c r="AE84" i="2"/>
  <c r="AA68" i="2"/>
  <c r="C68" i="2"/>
  <c r="D68" i="2"/>
  <c r="AB68" i="2"/>
  <c r="AF68" i="2"/>
  <c r="AD68" i="2"/>
  <c r="B68" i="2"/>
  <c r="AE68" i="2"/>
  <c r="AA52" i="2"/>
  <c r="C52" i="2"/>
  <c r="AB52" i="2"/>
  <c r="AF52" i="2"/>
  <c r="AD52" i="2"/>
  <c r="B52" i="2"/>
  <c r="D52" i="2"/>
  <c r="AE52" i="2"/>
  <c r="AA36" i="2"/>
  <c r="C36" i="2"/>
  <c r="AB36" i="2"/>
  <c r="B36" i="2"/>
  <c r="AF36" i="2"/>
  <c r="AD36" i="2"/>
  <c r="D36" i="2"/>
  <c r="AE36" i="2"/>
  <c r="AA20" i="2"/>
  <c r="C20" i="2"/>
  <c r="AB20" i="2"/>
  <c r="AF20" i="2"/>
  <c r="AD20" i="2"/>
  <c r="O20" i="2"/>
  <c r="D20" i="2"/>
  <c r="AE20" i="2"/>
  <c r="M197" i="2"/>
  <c r="L197" i="2" s="1"/>
  <c r="M181" i="2"/>
  <c r="M165" i="2"/>
  <c r="M149" i="2"/>
  <c r="M101" i="2"/>
  <c r="K101" i="2" s="1"/>
  <c r="M69" i="2"/>
  <c r="M53" i="2"/>
  <c r="M37" i="2"/>
  <c r="N205" i="2"/>
  <c r="N189" i="2"/>
  <c r="N173" i="2"/>
  <c r="N141" i="2"/>
  <c r="N125" i="2"/>
  <c r="N108" i="2"/>
  <c r="N92" i="2"/>
  <c r="N76" i="2"/>
  <c r="N60" i="2"/>
  <c r="N44" i="2"/>
  <c r="N28" i="2"/>
  <c r="N12" i="2"/>
  <c r="O183" i="2"/>
  <c r="O155" i="2"/>
  <c r="O132" i="2"/>
  <c r="O105" i="2"/>
  <c r="O84" i="2"/>
  <c r="O61" i="2"/>
  <c r="P206" i="2"/>
  <c r="P180" i="2"/>
  <c r="P156" i="2"/>
  <c r="P128" i="2"/>
  <c r="P100" i="2"/>
  <c r="P70" i="2"/>
  <c r="P38" i="2"/>
  <c r="Q118" i="2"/>
  <c r="Q69" i="2"/>
  <c r="Q20" i="2"/>
  <c r="AD184" i="2"/>
  <c r="AD106" i="2"/>
  <c r="AD25" i="2"/>
  <c r="AF169" i="2"/>
  <c r="AF75" i="2"/>
  <c r="D164" i="2"/>
  <c r="AB167" i="2"/>
  <c r="D167" i="2"/>
  <c r="AA167" i="2"/>
  <c r="C167" i="2"/>
  <c r="B167" i="2"/>
  <c r="AE167" i="2"/>
  <c r="AF167" i="2"/>
  <c r="AD167" i="2"/>
  <c r="AB55" i="2"/>
  <c r="D55" i="2"/>
  <c r="B55" i="2"/>
  <c r="AA55" i="2"/>
  <c r="C55" i="2"/>
  <c r="AE55" i="2"/>
  <c r="P55" i="2"/>
  <c r="AF55" i="2"/>
  <c r="AD55" i="2"/>
  <c r="D54" i="2"/>
  <c r="B54" i="2"/>
  <c r="AA54" i="2"/>
  <c r="C54" i="2"/>
  <c r="AB54" i="2"/>
  <c r="AE54" i="2"/>
  <c r="AF54" i="2"/>
  <c r="AD54" i="2"/>
  <c r="D117" i="2"/>
  <c r="B117" i="2"/>
  <c r="AA117" i="2"/>
  <c r="C117" i="2"/>
  <c r="AE117" i="2"/>
  <c r="P117" i="2"/>
  <c r="AF117" i="2"/>
  <c r="AD117" i="2"/>
  <c r="R117" i="2"/>
  <c r="M198" i="2"/>
  <c r="M86" i="2"/>
  <c r="AA195" i="2"/>
  <c r="C195" i="2"/>
  <c r="AB195" i="2"/>
  <c r="AF195" i="2"/>
  <c r="AD195" i="2"/>
  <c r="D195" i="2"/>
  <c r="Q195" i="2"/>
  <c r="AA179" i="2"/>
  <c r="C179" i="2"/>
  <c r="AB179" i="2"/>
  <c r="D179" i="2"/>
  <c r="AF179" i="2"/>
  <c r="AD179" i="2"/>
  <c r="Q179" i="2"/>
  <c r="AA163" i="2"/>
  <c r="C163" i="2"/>
  <c r="AB163" i="2"/>
  <c r="AF163" i="2"/>
  <c r="AD163" i="2"/>
  <c r="Q163" i="2"/>
  <c r="AA147" i="2"/>
  <c r="C147" i="2"/>
  <c r="AB147" i="2"/>
  <c r="B147" i="2"/>
  <c r="AF147" i="2"/>
  <c r="AD147" i="2"/>
  <c r="D147" i="2"/>
  <c r="Q147" i="2"/>
  <c r="AA131" i="2"/>
  <c r="C131" i="2"/>
  <c r="AB131" i="2"/>
  <c r="D131" i="2"/>
  <c r="AF131" i="2"/>
  <c r="AD131" i="2"/>
  <c r="Q131" i="2"/>
  <c r="AA115" i="2"/>
  <c r="C115" i="2"/>
  <c r="AB115" i="2"/>
  <c r="B115" i="2"/>
  <c r="AF115" i="2"/>
  <c r="AD115" i="2"/>
  <c r="Q115" i="2"/>
  <c r="AA99" i="2"/>
  <c r="C99" i="2"/>
  <c r="AB99" i="2"/>
  <c r="AF99" i="2"/>
  <c r="AD99" i="2"/>
  <c r="D99" i="2"/>
  <c r="B99" i="2"/>
  <c r="Q99" i="2"/>
  <c r="AA83" i="2"/>
  <c r="C83" i="2"/>
  <c r="AB83" i="2"/>
  <c r="P83" i="2"/>
  <c r="B83" i="2"/>
  <c r="D83" i="2"/>
  <c r="AF83" i="2"/>
  <c r="AD83" i="2"/>
  <c r="Q83" i="2"/>
  <c r="AA67" i="2"/>
  <c r="C67" i="2"/>
  <c r="AB67" i="2"/>
  <c r="D67" i="2"/>
  <c r="P67" i="2"/>
  <c r="AF67" i="2"/>
  <c r="AD67" i="2"/>
  <c r="Q67" i="2"/>
  <c r="AA51" i="2"/>
  <c r="C51" i="2"/>
  <c r="AB51" i="2"/>
  <c r="P51" i="2"/>
  <c r="AF51" i="2"/>
  <c r="AD51" i="2"/>
  <c r="B51" i="2"/>
  <c r="Q51" i="2"/>
  <c r="AA35" i="2"/>
  <c r="C35" i="2"/>
  <c r="AB35" i="2"/>
  <c r="B35" i="2"/>
  <c r="P35" i="2"/>
  <c r="AF35" i="2"/>
  <c r="AD35" i="2"/>
  <c r="D35" i="2"/>
  <c r="Q35" i="2"/>
  <c r="AA19" i="2"/>
  <c r="C19" i="2"/>
  <c r="AB19" i="2"/>
  <c r="P19" i="2"/>
  <c r="AF19" i="2"/>
  <c r="AD19" i="2"/>
  <c r="D19" i="2"/>
  <c r="Q19" i="2"/>
  <c r="M196" i="2"/>
  <c r="M180" i="2"/>
  <c r="M164" i="2"/>
  <c r="M148" i="2"/>
  <c r="M132" i="2"/>
  <c r="M116" i="2"/>
  <c r="M100" i="2"/>
  <c r="M84" i="2"/>
  <c r="M68" i="2"/>
  <c r="M52" i="2"/>
  <c r="M36" i="2"/>
  <c r="M20" i="2"/>
  <c r="N204" i="2"/>
  <c r="N188" i="2"/>
  <c r="N172" i="2"/>
  <c r="N156" i="2"/>
  <c r="N124" i="2"/>
  <c r="N91" i="2"/>
  <c r="N75" i="2"/>
  <c r="N59" i="2"/>
  <c r="N43" i="2"/>
  <c r="N27" i="2"/>
  <c r="N11" i="2"/>
  <c r="O182" i="2"/>
  <c r="O153" i="2"/>
  <c r="O131" i="2"/>
  <c r="O104" i="2"/>
  <c r="O83" i="2"/>
  <c r="O60" i="2"/>
  <c r="O35" i="2"/>
  <c r="P205" i="2"/>
  <c r="P179" i="2"/>
  <c r="P153" i="2"/>
  <c r="P99" i="2"/>
  <c r="P68" i="2"/>
  <c r="P36" i="2"/>
  <c r="Q204" i="2"/>
  <c r="Q117" i="2"/>
  <c r="Q68" i="2"/>
  <c r="AD176" i="2"/>
  <c r="AD105" i="2"/>
  <c r="AF155" i="2"/>
  <c r="AF74" i="2"/>
  <c r="B193" i="2"/>
  <c r="B20" i="2"/>
  <c r="D163" i="2"/>
  <c r="D133" i="2"/>
  <c r="B133" i="2"/>
  <c r="AA133" i="2"/>
  <c r="C133" i="2"/>
  <c r="AE133" i="2"/>
  <c r="P133" i="2"/>
  <c r="AF133" i="2"/>
  <c r="AD133" i="2"/>
  <c r="AB133" i="2"/>
  <c r="D21" i="2"/>
  <c r="B21" i="2"/>
  <c r="AA21" i="2"/>
  <c r="C21" i="2"/>
  <c r="AE21" i="2"/>
  <c r="AB21" i="2"/>
  <c r="P21" i="2"/>
  <c r="AF21" i="2"/>
  <c r="AD21" i="2"/>
  <c r="M150" i="2"/>
  <c r="P102" i="2"/>
  <c r="AA194" i="2"/>
  <c r="C194" i="2"/>
  <c r="AB194" i="2"/>
  <c r="P194" i="2"/>
  <c r="AF194" i="2"/>
  <c r="AD194" i="2"/>
  <c r="D194" i="2"/>
  <c r="Q194" i="2"/>
  <c r="AA178" i="2"/>
  <c r="C178" i="2"/>
  <c r="AB178" i="2"/>
  <c r="D178" i="2"/>
  <c r="P178" i="2"/>
  <c r="AF178" i="2"/>
  <c r="AD178" i="2"/>
  <c r="Q178" i="2"/>
  <c r="AA162" i="2"/>
  <c r="C162" i="2"/>
  <c r="AB162" i="2"/>
  <c r="P162" i="2"/>
  <c r="AF162" i="2"/>
  <c r="AD162" i="2"/>
  <c r="Q162" i="2"/>
  <c r="AA146" i="2"/>
  <c r="C146" i="2"/>
  <c r="AB146" i="2"/>
  <c r="P146" i="2"/>
  <c r="B146" i="2"/>
  <c r="AF146" i="2"/>
  <c r="AD146" i="2"/>
  <c r="D146" i="2"/>
  <c r="Q146" i="2"/>
  <c r="AA130" i="2"/>
  <c r="C130" i="2"/>
  <c r="AB130" i="2"/>
  <c r="P130" i="2"/>
  <c r="D130" i="2"/>
  <c r="AF130" i="2"/>
  <c r="AD130" i="2"/>
  <c r="Q130" i="2"/>
  <c r="B130" i="2"/>
  <c r="AA114" i="2"/>
  <c r="C114" i="2"/>
  <c r="AB114" i="2"/>
  <c r="P114" i="2"/>
  <c r="B114" i="2"/>
  <c r="AF114" i="2"/>
  <c r="AD114" i="2"/>
  <c r="Q114" i="2"/>
  <c r="AA98" i="2"/>
  <c r="C98" i="2"/>
  <c r="AB98" i="2"/>
  <c r="P98" i="2"/>
  <c r="AF98" i="2"/>
  <c r="AD98" i="2"/>
  <c r="D98" i="2"/>
  <c r="B98" i="2"/>
  <c r="Q98" i="2"/>
  <c r="AA82" i="2"/>
  <c r="C82" i="2"/>
  <c r="AB82" i="2"/>
  <c r="P82" i="2"/>
  <c r="B82" i="2"/>
  <c r="D82" i="2"/>
  <c r="AF82" i="2"/>
  <c r="AD82" i="2"/>
  <c r="Q82" i="2"/>
  <c r="AA66" i="2"/>
  <c r="C66" i="2"/>
  <c r="AB66" i="2"/>
  <c r="D66" i="2"/>
  <c r="P66" i="2"/>
  <c r="AF66" i="2"/>
  <c r="AD66" i="2"/>
  <c r="Q66" i="2"/>
  <c r="AA50" i="2"/>
  <c r="C50" i="2"/>
  <c r="AB50" i="2"/>
  <c r="P50" i="2"/>
  <c r="AF50" i="2"/>
  <c r="AD50" i="2"/>
  <c r="B50" i="2"/>
  <c r="Q50" i="2"/>
  <c r="AA34" i="2"/>
  <c r="C34" i="2"/>
  <c r="AB34" i="2"/>
  <c r="B34" i="2"/>
  <c r="P34" i="2"/>
  <c r="AF34" i="2"/>
  <c r="AD34" i="2"/>
  <c r="D34" i="2"/>
  <c r="Q34" i="2"/>
  <c r="AA18" i="2"/>
  <c r="C18" i="2"/>
  <c r="AB18" i="2"/>
  <c r="P18" i="2"/>
  <c r="AF18" i="2"/>
  <c r="AD18" i="2"/>
  <c r="D18" i="2"/>
  <c r="Q18" i="2"/>
  <c r="M195" i="2"/>
  <c r="M179" i="2"/>
  <c r="M163" i="2"/>
  <c r="M147" i="2"/>
  <c r="M131" i="2"/>
  <c r="M115" i="2"/>
  <c r="M99" i="2"/>
  <c r="M83" i="2"/>
  <c r="M67" i="2"/>
  <c r="M51" i="2"/>
  <c r="K51" i="2" s="1"/>
  <c r="M35" i="2"/>
  <c r="M19" i="2"/>
  <c r="N203" i="2"/>
  <c r="N171" i="2"/>
  <c r="N155" i="2"/>
  <c r="N139" i="2"/>
  <c r="N123" i="2"/>
  <c r="N90" i="2"/>
  <c r="N74" i="2"/>
  <c r="N58" i="2"/>
  <c r="N42" i="2"/>
  <c r="N10" i="2"/>
  <c r="O181" i="2"/>
  <c r="O152" i="2"/>
  <c r="O129" i="2"/>
  <c r="O103" i="2"/>
  <c r="O82" i="2"/>
  <c r="O59" i="2"/>
  <c r="O34" i="2"/>
  <c r="P204" i="2"/>
  <c r="P126" i="2"/>
  <c r="Q199" i="2"/>
  <c r="Q164" i="2"/>
  <c r="Q116" i="2"/>
  <c r="Q60" i="2"/>
  <c r="AD171" i="2"/>
  <c r="AE35" i="2"/>
  <c r="AF154" i="2"/>
  <c r="AF73" i="2"/>
  <c r="B179" i="2"/>
  <c r="B19" i="2"/>
  <c r="D162" i="2"/>
  <c r="AA129" i="2"/>
  <c r="C129" i="2"/>
  <c r="AB129" i="2"/>
  <c r="P129" i="2"/>
  <c r="D129" i="2"/>
  <c r="AF129" i="2"/>
  <c r="AD129" i="2"/>
  <c r="Q129" i="2"/>
  <c r="B129" i="2"/>
  <c r="AA113" i="2"/>
  <c r="C113" i="2"/>
  <c r="AB113" i="2"/>
  <c r="D113" i="2"/>
  <c r="P113" i="2"/>
  <c r="B113" i="2"/>
  <c r="AF113" i="2"/>
  <c r="AD113" i="2"/>
  <c r="Q113" i="2"/>
  <c r="AA97" i="2"/>
  <c r="C97" i="2"/>
  <c r="AB97" i="2"/>
  <c r="D97" i="2"/>
  <c r="P97" i="2"/>
  <c r="AF97" i="2"/>
  <c r="AD97" i="2"/>
  <c r="B97" i="2"/>
  <c r="Q97" i="2"/>
  <c r="AA81" i="2"/>
  <c r="C81" i="2"/>
  <c r="AB81" i="2"/>
  <c r="D81" i="2"/>
  <c r="P81" i="2"/>
  <c r="B81" i="2"/>
  <c r="AF81" i="2"/>
  <c r="AD81" i="2"/>
  <c r="Q81" i="2"/>
  <c r="AA65" i="2"/>
  <c r="C65" i="2"/>
  <c r="AB65" i="2"/>
  <c r="D65" i="2"/>
  <c r="P65" i="2"/>
  <c r="AF65" i="2"/>
  <c r="AD65" i="2"/>
  <c r="Q65" i="2"/>
  <c r="AA49" i="2"/>
  <c r="C49" i="2"/>
  <c r="AB49" i="2"/>
  <c r="D49" i="2"/>
  <c r="P49" i="2"/>
  <c r="AF49" i="2"/>
  <c r="AD49" i="2"/>
  <c r="B49" i="2"/>
  <c r="Q49" i="2"/>
  <c r="AA33" i="2"/>
  <c r="C33" i="2"/>
  <c r="AB33" i="2"/>
  <c r="D33" i="2"/>
  <c r="B33" i="2"/>
  <c r="P33" i="2"/>
  <c r="O33" i="2"/>
  <c r="AF33" i="2"/>
  <c r="AD33" i="2"/>
  <c r="Q33" i="2"/>
  <c r="AA17" i="2"/>
  <c r="C17" i="2"/>
  <c r="AB17" i="2"/>
  <c r="D17" i="2"/>
  <c r="P17" i="2"/>
  <c r="AF17" i="2"/>
  <c r="AD17" i="2"/>
  <c r="O17" i="2"/>
  <c r="Q17" i="2"/>
  <c r="B17" i="2"/>
  <c r="M194" i="2"/>
  <c r="M178" i="2"/>
  <c r="M162" i="2"/>
  <c r="M146" i="2"/>
  <c r="M130" i="2"/>
  <c r="M114" i="2"/>
  <c r="M98" i="2"/>
  <c r="M82" i="2"/>
  <c r="M66" i="2"/>
  <c r="M50" i="2"/>
  <c r="M34" i="2"/>
  <c r="M18" i="2"/>
  <c r="N202" i="2"/>
  <c r="N170" i="2"/>
  <c r="N154" i="2"/>
  <c r="N138" i="2"/>
  <c r="N122" i="2"/>
  <c r="N89" i="2"/>
  <c r="N73" i="2"/>
  <c r="N57" i="2"/>
  <c r="N41" i="2"/>
  <c r="N25" i="2"/>
  <c r="N9" i="2"/>
  <c r="O179" i="2"/>
  <c r="O150" i="2"/>
  <c r="O101" i="2"/>
  <c r="O81" i="2"/>
  <c r="O58" i="2"/>
  <c r="O31" i="2"/>
  <c r="P201" i="2"/>
  <c r="P150" i="2"/>
  <c r="P125" i="2"/>
  <c r="Q198" i="2"/>
  <c r="Q55" i="2"/>
  <c r="R18" i="2"/>
  <c r="AD170" i="2"/>
  <c r="AE115" i="2"/>
  <c r="AE34" i="2"/>
  <c r="AF153" i="2"/>
  <c r="AF59" i="2"/>
  <c r="B178" i="2"/>
  <c r="B18" i="2"/>
  <c r="D115" i="2"/>
  <c r="AB151" i="2"/>
  <c r="D151" i="2"/>
  <c r="B151" i="2"/>
  <c r="AA151" i="2"/>
  <c r="C151" i="2"/>
  <c r="AE151" i="2"/>
  <c r="AF151" i="2"/>
  <c r="AD151" i="2"/>
  <c r="AB71" i="2"/>
  <c r="D71" i="2"/>
  <c r="B71" i="2"/>
  <c r="AA71" i="2"/>
  <c r="C71" i="2"/>
  <c r="AE71" i="2"/>
  <c r="P71" i="2"/>
  <c r="AF71" i="2"/>
  <c r="AD71" i="2"/>
  <c r="D166" i="2"/>
  <c r="AA166" i="2"/>
  <c r="C166" i="2"/>
  <c r="AB166" i="2"/>
  <c r="B166" i="2"/>
  <c r="AE166" i="2"/>
  <c r="AF166" i="2"/>
  <c r="AD166" i="2"/>
  <c r="D37" i="2"/>
  <c r="B37" i="2"/>
  <c r="AA37" i="2"/>
  <c r="C37" i="2"/>
  <c r="AE37" i="2"/>
  <c r="AB37" i="2"/>
  <c r="P37" i="2"/>
  <c r="AF37" i="2"/>
  <c r="AD37" i="2"/>
  <c r="AA161" i="2"/>
  <c r="C161" i="2"/>
  <c r="AB161" i="2"/>
  <c r="P161" i="2"/>
  <c r="AF161" i="2"/>
  <c r="AD161" i="2"/>
  <c r="Q161" i="2"/>
  <c r="D161" i="2"/>
  <c r="AA192" i="2"/>
  <c r="C192" i="2"/>
  <c r="AB192" i="2"/>
  <c r="AF192" i="2"/>
  <c r="D192" i="2"/>
  <c r="Q192" i="2"/>
  <c r="B192" i="2"/>
  <c r="AE192" i="2"/>
  <c r="AA176" i="2"/>
  <c r="C176" i="2"/>
  <c r="AB176" i="2"/>
  <c r="AF176" i="2"/>
  <c r="Q176" i="2"/>
  <c r="B176" i="2"/>
  <c r="AE176" i="2"/>
  <c r="D176" i="2"/>
  <c r="AA160" i="2"/>
  <c r="C160" i="2"/>
  <c r="AB160" i="2"/>
  <c r="AF160" i="2"/>
  <c r="AD160" i="2"/>
  <c r="Q160" i="2"/>
  <c r="D160" i="2"/>
  <c r="B160" i="2"/>
  <c r="AE160" i="2"/>
  <c r="AA144" i="2"/>
  <c r="C144" i="2"/>
  <c r="AB144" i="2"/>
  <c r="B144" i="2"/>
  <c r="AF144" i="2"/>
  <c r="AD144" i="2"/>
  <c r="D144" i="2"/>
  <c r="Q144" i="2"/>
  <c r="AE144" i="2"/>
  <c r="AA128" i="2"/>
  <c r="C128" i="2"/>
  <c r="AB128" i="2"/>
  <c r="D128" i="2"/>
  <c r="AF128" i="2"/>
  <c r="AD128" i="2"/>
  <c r="Q128" i="2"/>
  <c r="B128" i="2"/>
  <c r="AE128" i="2"/>
  <c r="AA112" i="2"/>
  <c r="C112" i="2"/>
  <c r="AB112" i="2"/>
  <c r="B112" i="2"/>
  <c r="AF112" i="2"/>
  <c r="AD112" i="2"/>
  <c r="Q112" i="2"/>
  <c r="AE112" i="2"/>
  <c r="AA96" i="2"/>
  <c r="C96" i="2"/>
  <c r="AB96" i="2"/>
  <c r="AF96" i="2"/>
  <c r="AD96" i="2"/>
  <c r="B96" i="2"/>
  <c r="Q96" i="2"/>
  <c r="D96" i="2"/>
  <c r="AE96" i="2"/>
  <c r="AA80" i="2"/>
  <c r="C80" i="2"/>
  <c r="AB80" i="2"/>
  <c r="B80" i="2"/>
  <c r="AF80" i="2"/>
  <c r="AD80" i="2"/>
  <c r="D80" i="2"/>
  <c r="Q80" i="2"/>
  <c r="AE80" i="2"/>
  <c r="AA64" i="2"/>
  <c r="C64" i="2"/>
  <c r="AB64" i="2"/>
  <c r="D64" i="2"/>
  <c r="AF64" i="2"/>
  <c r="AD64" i="2"/>
  <c r="Q64" i="2"/>
  <c r="B64" i="2"/>
  <c r="AE64" i="2"/>
  <c r="AA48" i="2"/>
  <c r="C48" i="2"/>
  <c r="AB48" i="2"/>
  <c r="AF48" i="2"/>
  <c r="AD48" i="2"/>
  <c r="B48" i="2"/>
  <c r="Q48" i="2"/>
  <c r="AE48" i="2"/>
  <c r="AA32" i="2"/>
  <c r="C32" i="2"/>
  <c r="AB32" i="2"/>
  <c r="D32" i="2"/>
  <c r="O32" i="2"/>
  <c r="AF32" i="2"/>
  <c r="AD32" i="2"/>
  <c r="Q32" i="2"/>
  <c r="AE32" i="2"/>
  <c r="B32" i="2"/>
  <c r="AA16" i="2"/>
  <c r="C16" i="2"/>
  <c r="AB16" i="2"/>
  <c r="D16" i="2"/>
  <c r="AF16" i="2"/>
  <c r="AD16" i="2"/>
  <c r="Q16" i="2"/>
  <c r="B16" i="2"/>
  <c r="AE16" i="2"/>
  <c r="M177" i="2"/>
  <c r="M161" i="2"/>
  <c r="M129" i="2"/>
  <c r="M113" i="2"/>
  <c r="M97" i="2"/>
  <c r="M81" i="2"/>
  <c r="M65" i="2"/>
  <c r="M49" i="2"/>
  <c r="K49" i="2" s="1"/>
  <c r="M33" i="2"/>
  <c r="M17" i="2"/>
  <c r="N201" i="2"/>
  <c r="N169" i="2"/>
  <c r="N153" i="2"/>
  <c r="N137" i="2"/>
  <c r="N121" i="2"/>
  <c r="N104" i="2"/>
  <c r="N88" i="2"/>
  <c r="N72" i="2"/>
  <c r="N56" i="2"/>
  <c r="N40" i="2"/>
  <c r="N24" i="2"/>
  <c r="N8" i="2"/>
  <c r="O178" i="2"/>
  <c r="O148" i="2"/>
  <c r="O100" i="2"/>
  <c r="O57" i="2"/>
  <c r="O30" i="2"/>
  <c r="P148" i="2"/>
  <c r="P124" i="2"/>
  <c r="Q197" i="2"/>
  <c r="Q103" i="2"/>
  <c r="Q54" i="2"/>
  <c r="R64" i="2"/>
  <c r="AD169" i="2"/>
  <c r="AD89" i="2"/>
  <c r="AE195" i="2"/>
  <c r="AE114" i="2"/>
  <c r="AE33" i="2"/>
  <c r="AF58" i="2"/>
  <c r="D114" i="2"/>
  <c r="AA173" i="2"/>
  <c r="AA177" i="2"/>
  <c r="C177" i="2"/>
  <c r="AB177" i="2"/>
  <c r="D177" i="2"/>
  <c r="P177" i="2"/>
  <c r="AF177" i="2"/>
  <c r="AD177" i="2"/>
  <c r="Q177" i="2"/>
  <c r="AB7" i="2"/>
  <c r="D7" i="2"/>
  <c r="B7" i="2"/>
  <c r="AA7" i="2"/>
  <c r="C7" i="2"/>
  <c r="AE7" i="2"/>
  <c r="P7" i="2"/>
  <c r="AF7" i="2"/>
  <c r="AD7" i="2"/>
  <c r="AA191" i="2"/>
  <c r="C191" i="2"/>
  <c r="AB191" i="2"/>
  <c r="D191" i="2"/>
  <c r="AF191" i="2"/>
  <c r="AD191" i="2"/>
  <c r="Q191" i="2"/>
  <c r="B191" i="2"/>
  <c r="AE191" i="2"/>
  <c r="AA175" i="2"/>
  <c r="C175" i="2"/>
  <c r="AB175" i="2"/>
  <c r="D175" i="2"/>
  <c r="AF175" i="2"/>
  <c r="AD175" i="2"/>
  <c r="Q175" i="2"/>
  <c r="B175" i="2"/>
  <c r="AE175" i="2"/>
  <c r="AA159" i="2"/>
  <c r="C159" i="2"/>
  <c r="AB159" i="2"/>
  <c r="D159" i="2"/>
  <c r="B159" i="2"/>
  <c r="AF159" i="2"/>
  <c r="AD159" i="2"/>
  <c r="Q159" i="2"/>
  <c r="AE159" i="2"/>
  <c r="AA143" i="2"/>
  <c r="C143" i="2"/>
  <c r="AB143" i="2"/>
  <c r="D143" i="2"/>
  <c r="B143" i="2"/>
  <c r="AF143" i="2"/>
  <c r="AD143" i="2"/>
  <c r="Q143" i="2"/>
  <c r="AE143" i="2"/>
  <c r="AA127" i="2"/>
  <c r="C127" i="2"/>
  <c r="AB127" i="2"/>
  <c r="D127" i="2"/>
  <c r="B127" i="2"/>
  <c r="AF127" i="2"/>
  <c r="AD127" i="2"/>
  <c r="Q127" i="2"/>
  <c r="AE127" i="2"/>
  <c r="AA111" i="2"/>
  <c r="C111" i="2"/>
  <c r="AB111" i="2"/>
  <c r="D111" i="2"/>
  <c r="B111" i="2"/>
  <c r="AF111" i="2"/>
  <c r="AD111" i="2"/>
  <c r="Q111" i="2"/>
  <c r="AE111" i="2"/>
  <c r="AA95" i="2"/>
  <c r="C95" i="2"/>
  <c r="AB95" i="2"/>
  <c r="D95" i="2"/>
  <c r="B95" i="2"/>
  <c r="AF95" i="2"/>
  <c r="AD95" i="2"/>
  <c r="Q95" i="2"/>
  <c r="AE95" i="2"/>
  <c r="AA79" i="2"/>
  <c r="C79" i="2"/>
  <c r="AB79" i="2"/>
  <c r="D79" i="2"/>
  <c r="B79" i="2"/>
  <c r="AF79" i="2"/>
  <c r="AD79" i="2"/>
  <c r="Q79" i="2"/>
  <c r="AE79" i="2"/>
  <c r="AA63" i="2"/>
  <c r="C63" i="2"/>
  <c r="AB63" i="2"/>
  <c r="D63" i="2"/>
  <c r="B63" i="2"/>
  <c r="AF63" i="2"/>
  <c r="AD63" i="2"/>
  <c r="Q63" i="2"/>
  <c r="AE63" i="2"/>
  <c r="AA47" i="2"/>
  <c r="C47" i="2"/>
  <c r="AB47" i="2"/>
  <c r="D47" i="2"/>
  <c r="B47" i="2"/>
  <c r="AF47" i="2"/>
  <c r="AD47" i="2"/>
  <c r="Q47" i="2"/>
  <c r="AE47" i="2"/>
  <c r="AA31" i="2"/>
  <c r="C31" i="2"/>
  <c r="AB31" i="2"/>
  <c r="D31" i="2"/>
  <c r="B31" i="2"/>
  <c r="AF31" i="2"/>
  <c r="AD31" i="2"/>
  <c r="Q31" i="2"/>
  <c r="AE31" i="2"/>
  <c r="AA15" i="2"/>
  <c r="C15" i="2"/>
  <c r="AB15" i="2"/>
  <c r="D15" i="2"/>
  <c r="B15" i="2"/>
  <c r="AF15" i="2"/>
  <c r="AD15" i="2"/>
  <c r="Q15" i="2"/>
  <c r="AE15" i="2"/>
  <c r="M192" i="2"/>
  <c r="M176" i="2"/>
  <c r="M160" i="2"/>
  <c r="M144" i="2"/>
  <c r="M128" i="2"/>
  <c r="M112" i="2"/>
  <c r="M96" i="2"/>
  <c r="M80" i="2"/>
  <c r="M64" i="2"/>
  <c r="M48" i="2"/>
  <c r="M32" i="2"/>
  <c r="M16" i="2"/>
  <c r="L16" i="2" s="1"/>
  <c r="N200" i="2"/>
  <c r="N184" i="2"/>
  <c r="N168" i="2"/>
  <c r="N152" i="2"/>
  <c r="N136" i="2"/>
  <c r="N120" i="2"/>
  <c r="N87" i="2"/>
  <c r="N71" i="2"/>
  <c r="N55" i="2"/>
  <c r="N7" i="2"/>
  <c r="O177" i="2"/>
  <c r="O147" i="2"/>
  <c r="O125" i="2"/>
  <c r="O99" i="2"/>
  <c r="O56" i="2"/>
  <c r="O29" i="2"/>
  <c r="P198" i="2"/>
  <c r="P173" i="2"/>
  <c r="P147" i="2"/>
  <c r="P121" i="2"/>
  <c r="P61" i="2"/>
  <c r="P29" i="2"/>
  <c r="Q196" i="2"/>
  <c r="Q151" i="2"/>
  <c r="Q102" i="2"/>
  <c r="Q53" i="2"/>
  <c r="R81" i="2"/>
  <c r="AD168" i="2"/>
  <c r="AE194" i="2"/>
  <c r="AE113" i="2"/>
  <c r="AE19" i="2"/>
  <c r="AF57" i="2"/>
  <c r="B163" i="2"/>
  <c r="D112" i="2"/>
  <c r="AA172" i="2"/>
  <c r="AB199" i="2"/>
  <c r="D199" i="2"/>
  <c r="AA199" i="2"/>
  <c r="C199" i="2"/>
  <c r="B199" i="2"/>
  <c r="AE199" i="2"/>
  <c r="AF199" i="2"/>
  <c r="AD199" i="2"/>
  <c r="AB103" i="2"/>
  <c r="D103" i="2"/>
  <c r="B103" i="2"/>
  <c r="AA103" i="2"/>
  <c r="C103" i="2"/>
  <c r="AE103" i="2"/>
  <c r="P103" i="2"/>
  <c r="AF103" i="2"/>
  <c r="AD103" i="2"/>
  <c r="AB23" i="2"/>
  <c r="D23" i="2"/>
  <c r="B23" i="2"/>
  <c r="AA23" i="2"/>
  <c r="C23" i="2"/>
  <c r="AE23" i="2"/>
  <c r="P23" i="2"/>
  <c r="O23" i="2"/>
  <c r="AF23" i="2"/>
  <c r="AD23" i="2"/>
  <c r="Q23" i="2"/>
  <c r="D182" i="2"/>
  <c r="AA182" i="2"/>
  <c r="C182" i="2"/>
  <c r="AB182" i="2"/>
  <c r="B182" i="2"/>
  <c r="AE182" i="2"/>
  <c r="AF182" i="2"/>
  <c r="AD182" i="2"/>
  <c r="D22" i="2"/>
  <c r="B22" i="2"/>
  <c r="AA22" i="2"/>
  <c r="C22" i="2"/>
  <c r="AB22" i="2"/>
  <c r="AE22" i="2"/>
  <c r="AF22" i="2"/>
  <c r="AD22" i="2"/>
  <c r="M103" i="2"/>
  <c r="D165" i="2"/>
  <c r="AA165" i="2"/>
  <c r="C165" i="2"/>
  <c r="B165" i="2"/>
  <c r="AE165" i="2"/>
  <c r="AB165" i="2"/>
  <c r="P165" i="2"/>
  <c r="AF165" i="2"/>
  <c r="AD165" i="2"/>
  <c r="AA193" i="2"/>
  <c r="C193" i="2"/>
  <c r="AB193" i="2"/>
  <c r="P193" i="2"/>
  <c r="AF193" i="2"/>
  <c r="AD193" i="2"/>
  <c r="D193" i="2"/>
  <c r="AA145" i="2"/>
  <c r="C145" i="2"/>
  <c r="AB145" i="2"/>
  <c r="P145" i="2"/>
  <c r="B145" i="2"/>
  <c r="AF145" i="2"/>
  <c r="AD145" i="2"/>
  <c r="D145" i="2"/>
  <c r="Q145" i="2"/>
  <c r="C206" i="2"/>
  <c r="AB206" i="2"/>
  <c r="D206" i="2"/>
  <c r="AA206" i="2"/>
  <c r="AF206" i="2"/>
  <c r="AD206" i="2"/>
  <c r="B206" i="2"/>
  <c r="AE206" i="2"/>
  <c r="C190" i="2"/>
  <c r="AB190" i="2"/>
  <c r="D190" i="2"/>
  <c r="AA190" i="2"/>
  <c r="AF190" i="2"/>
  <c r="AD190" i="2"/>
  <c r="B190" i="2"/>
  <c r="AE190" i="2"/>
  <c r="C174" i="2"/>
  <c r="AB174" i="2"/>
  <c r="D174" i="2"/>
  <c r="AA174" i="2"/>
  <c r="AF174" i="2"/>
  <c r="AD174" i="2"/>
  <c r="B174" i="2"/>
  <c r="AE174" i="2"/>
  <c r="C158" i="2"/>
  <c r="AB158" i="2"/>
  <c r="D158" i="2"/>
  <c r="AA158" i="2"/>
  <c r="AF158" i="2"/>
  <c r="AD158" i="2"/>
  <c r="AE158" i="2"/>
  <c r="B158" i="2"/>
  <c r="C142" i="2"/>
  <c r="AB142" i="2"/>
  <c r="D142" i="2"/>
  <c r="AA142" i="2"/>
  <c r="B142" i="2"/>
  <c r="AF142" i="2"/>
  <c r="AD142" i="2"/>
  <c r="Q142" i="2"/>
  <c r="AE142" i="2"/>
  <c r="C126" i="2"/>
  <c r="AB126" i="2"/>
  <c r="D126" i="2"/>
  <c r="AA126" i="2"/>
  <c r="AF126" i="2"/>
  <c r="AD126" i="2"/>
  <c r="Q126" i="2"/>
  <c r="B126" i="2"/>
  <c r="AE126" i="2"/>
  <c r="C110" i="2"/>
  <c r="AB110" i="2"/>
  <c r="D110" i="2"/>
  <c r="AA110" i="2"/>
  <c r="AF110" i="2"/>
  <c r="AD110" i="2"/>
  <c r="Q110" i="2"/>
  <c r="AE110" i="2"/>
  <c r="B110" i="2"/>
  <c r="C94" i="2"/>
  <c r="AB94" i="2"/>
  <c r="D94" i="2"/>
  <c r="B94" i="2"/>
  <c r="AA94" i="2"/>
  <c r="AF94" i="2"/>
  <c r="AD94" i="2"/>
  <c r="Q94" i="2"/>
  <c r="AE94" i="2"/>
  <c r="C78" i="2"/>
  <c r="AB78" i="2"/>
  <c r="D78" i="2"/>
  <c r="B78" i="2"/>
  <c r="AA78" i="2"/>
  <c r="AF78" i="2"/>
  <c r="AD78" i="2"/>
  <c r="Q78" i="2"/>
  <c r="AE78" i="2"/>
  <c r="C62" i="2"/>
  <c r="AB62" i="2"/>
  <c r="D62" i="2"/>
  <c r="B62" i="2"/>
  <c r="AA62" i="2"/>
  <c r="AF62" i="2"/>
  <c r="AD62" i="2"/>
  <c r="Q62" i="2"/>
  <c r="AE62" i="2"/>
  <c r="C46" i="2"/>
  <c r="AB46" i="2"/>
  <c r="D46" i="2"/>
  <c r="B46" i="2"/>
  <c r="AA46" i="2"/>
  <c r="AF46" i="2"/>
  <c r="AD46" i="2"/>
  <c r="Q46" i="2"/>
  <c r="AE46" i="2"/>
  <c r="C30" i="2"/>
  <c r="AB30" i="2"/>
  <c r="D30" i="2"/>
  <c r="B30" i="2"/>
  <c r="AA30" i="2"/>
  <c r="AF30" i="2"/>
  <c r="AD30" i="2"/>
  <c r="Q30" i="2"/>
  <c r="AE30" i="2"/>
  <c r="C14" i="2"/>
  <c r="AB14" i="2"/>
  <c r="D14" i="2"/>
  <c r="B14" i="2"/>
  <c r="AA14" i="2"/>
  <c r="AF14" i="2"/>
  <c r="AD14" i="2"/>
  <c r="Q14" i="2"/>
  <c r="AE14" i="2"/>
  <c r="M191" i="2"/>
  <c r="L191" i="2" s="1"/>
  <c r="M175" i="2"/>
  <c r="M159" i="2"/>
  <c r="M143" i="2"/>
  <c r="M127" i="2"/>
  <c r="M111" i="2"/>
  <c r="M95" i="2"/>
  <c r="M79" i="2"/>
  <c r="M63" i="2"/>
  <c r="M47" i="2"/>
  <c r="M31" i="2"/>
  <c r="M15" i="2"/>
  <c r="N199" i="2"/>
  <c r="N183" i="2"/>
  <c r="N167" i="2"/>
  <c r="N151" i="2"/>
  <c r="N119" i="2"/>
  <c r="N86" i="2"/>
  <c r="N54" i="2"/>
  <c r="N22" i="2"/>
  <c r="O206" i="2"/>
  <c r="O175" i="2"/>
  <c r="O145" i="2"/>
  <c r="O98" i="2"/>
  <c r="O77" i="2"/>
  <c r="O55" i="2"/>
  <c r="O28" i="2"/>
  <c r="P196" i="2"/>
  <c r="P144" i="2"/>
  <c r="P118" i="2"/>
  <c r="P60" i="2"/>
  <c r="Q193" i="2"/>
  <c r="Q150" i="2"/>
  <c r="Q101" i="2"/>
  <c r="Q52" i="2"/>
  <c r="R194" i="2"/>
  <c r="AD74" i="2"/>
  <c r="AE193" i="2"/>
  <c r="AE99" i="2"/>
  <c r="AE18" i="2"/>
  <c r="AF137" i="2"/>
  <c r="B162" i="2"/>
  <c r="C169" i="2"/>
  <c r="D51" i="2"/>
  <c r="AB135" i="2"/>
  <c r="D135" i="2"/>
  <c r="B135" i="2"/>
  <c r="AA135" i="2"/>
  <c r="C135" i="2"/>
  <c r="AE135" i="2"/>
  <c r="AF135" i="2"/>
  <c r="AD135" i="2"/>
  <c r="AB87" i="2"/>
  <c r="D87" i="2"/>
  <c r="B87" i="2"/>
  <c r="AA87" i="2"/>
  <c r="C87" i="2"/>
  <c r="AE87" i="2"/>
  <c r="P87" i="2"/>
  <c r="AF87" i="2"/>
  <c r="AD87" i="2"/>
  <c r="AB39" i="2"/>
  <c r="D39" i="2"/>
  <c r="B39" i="2"/>
  <c r="AA39" i="2"/>
  <c r="C39" i="2"/>
  <c r="AE39" i="2"/>
  <c r="P39" i="2"/>
  <c r="AF39" i="2"/>
  <c r="AD39" i="2"/>
  <c r="D38" i="2"/>
  <c r="B38" i="2"/>
  <c r="AA38" i="2"/>
  <c r="C38" i="2"/>
  <c r="AB38" i="2"/>
  <c r="AE38" i="2"/>
  <c r="AF38" i="2"/>
  <c r="AD38" i="2"/>
  <c r="M151" i="2"/>
  <c r="M39" i="2"/>
  <c r="D85" i="2"/>
  <c r="B85" i="2"/>
  <c r="AA85" i="2"/>
  <c r="C85" i="2"/>
  <c r="AE85" i="2"/>
  <c r="P85" i="2"/>
  <c r="AF85" i="2"/>
  <c r="AD85" i="2"/>
  <c r="AB85" i="2"/>
  <c r="O133" i="2"/>
  <c r="C93" i="2"/>
  <c r="AB93" i="2"/>
  <c r="D93" i="2"/>
  <c r="B93" i="2"/>
  <c r="AF93" i="2"/>
  <c r="AD93" i="2"/>
  <c r="AA93" i="2"/>
  <c r="Q93" i="2"/>
  <c r="AE93" i="2"/>
  <c r="M78" i="2"/>
  <c r="M62" i="2"/>
  <c r="M46" i="2"/>
  <c r="M30" i="2"/>
  <c r="M14" i="2"/>
  <c r="N182" i="2"/>
  <c r="N166" i="2"/>
  <c r="N150" i="2"/>
  <c r="N85" i="2"/>
  <c r="N53" i="2"/>
  <c r="N37" i="2"/>
  <c r="N21" i="2"/>
  <c r="O173" i="2"/>
  <c r="O143" i="2"/>
  <c r="O122" i="2"/>
  <c r="O97" i="2"/>
  <c r="P195" i="2"/>
  <c r="P169" i="2"/>
  <c r="P143" i="2"/>
  <c r="P116" i="2"/>
  <c r="P57" i="2"/>
  <c r="P25" i="2"/>
  <c r="Q190" i="2"/>
  <c r="Q149" i="2"/>
  <c r="Q100" i="2"/>
  <c r="AD73" i="2"/>
  <c r="AE179" i="2"/>
  <c r="AE98" i="2"/>
  <c r="AE17" i="2"/>
  <c r="B161" i="2"/>
  <c r="C122" i="2"/>
  <c r="D50" i="2"/>
  <c r="AA45" i="2"/>
  <c r="D198" i="2"/>
  <c r="AA198" i="2"/>
  <c r="C198" i="2"/>
  <c r="AB198" i="2"/>
  <c r="B198" i="2"/>
  <c r="AE198" i="2"/>
  <c r="AF198" i="2"/>
  <c r="AD198" i="2"/>
  <c r="D70" i="2"/>
  <c r="B70" i="2"/>
  <c r="AA70" i="2"/>
  <c r="C70" i="2"/>
  <c r="AB70" i="2"/>
  <c r="AE70" i="2"/>
  <c r="AF70" i="2"/>
  <c r="AD70" i="2"/>
  <c r="M167" i="2"/>
  <c r="M55" i="2"/>
  <c r="O135" i="2"/>
  <c r="D53" i="2"/>
  <c r="B53" i="2"/>
  <c r="AA53" i="2"/>
  <c r="C53" i="2"/>
  <c r="AE53" i="2"/>
  <c r="P53" i="2"/>
  <c r="AB53" i="2"/>
  <c r="AF53" i="2"/>
  <c r="AD53" i="2"/>
  <c r="C157" i="2"/>
  <c r="AB157" i="2"/>
  <c r="D157" i="2"/>
  <c r="B157" i="2"/>
  <c r="AF157" i="2"/>
  <c r="AD157" i="2"/>
  <c r="Q157" i="2"/>
  <c r="AE157" i="2"/>
  <c r="AA157" i="2"/>
  <c r="C13" i="2"/>
  <c r="AB13" i="2"/>
  <c r="D13" i="2"/>
  <c r="B13" i="2"/>
  <c r="AF13" i="2"/>
  <c r="AD13" i="2"/>
  <c r="Q13" i="2"/>
  <c r="AE13" i="2"/>
  <c r="AA13" i="2"/>
  <c r="AB204" i="2"/>
  <c r="D204" i="2"/>
  <c r="AA204" i="2"/>
  <c r="B204" i="2"/>
  <c r="AE204" i="2"/>
  <c r="C204" i="2"/>
  <c r="AF204" i="2"/>
  <c r="AD204" i="2"/>
  <c r="AB188" i="2"/>
  <c r="D188" i="2"/>
  <c r="C188" i="2"/>
  <c r="B188" i="2"/>
  <c r="AE188" i="2"/>
  <c r="AF188" i="2"/>
  <c r="AD188" i="2"/>
  <c r="AB172" i="2"/>
  <c r="D172" i="2"/>
  <c r="B172" i="2"/>
  <c r="AE172" i="2"/>
  <c r="C172" i="2"/>
  <c r="AF172" i="2"/>
  <c r="AD172" i="2"/>
  <c r="AB156" i="2"/>
  <c r="D156" i="2"/>
  <c r="AE156" i="2"/>
  <c r="B156" i="2"/>
  <c r="AA156" i="2"/>
  <c r="C156" i="2"/>
  <c r="AF156" i="2"/>
  <c r="AD156" i="2"/>
  <c r="AB140" i="2"/>
  <c r="D140" i="2"/>
  <c r="B140" i="2"/>
  <c r="C140" i="2"/>
  <c r="AE140" i="2"/>
  <c r="AA140" i="2"/>
  <c r="AF140" i="2"/>
  <c r="AD140" i="2"/>
  <c r="AB124" i="2"/>
  <c r="D124" i="2"/>
  <c r="C124" i="2"/>
  <c r="AA124" i="2"/>
  <c r="B124" i="2"/>
  <c r="AE124" i="2"/>
  <c r="AF124" i="2"/>
  <c r="AD124" i="2"/>
  <c r="AB108" i="2"/>
  <c r="D108" i="2"/>
  <c r="AA108" i="2"/>
  <c r="AE108" i="2"/>
  <c r="C108" i="2"/>
  <c r="AF108" i="2"/>
  <c r="AD108" i="2"/>
  <c r="AB92" i="2"/>
  <c r="D92" i="2"/>
  <c r="AA92" i="2"/>
  <c r="C92" i="2"/>
  <c r="B92" i="2"/>
  <c r="AE92" i="2"/>
  <c r="AF92" i="2"/>
  <c r="AD92" i="2"/>
  <c r="AB76" i="2"/>
  <c r="D76" i="2"/>
  <c r="AA76" i="2"/>
  <c r="B76" i="2"/>
  <c r="C76" i="2"/>
  <c r="AE76" i="2"/>
  <c r="AF76" i="2"/>
  <c r="AD76" i="2"/>
  <c r="AB60" i="2"/>
  <c r="D60" i="2"/>
  <c r="AE60" i="2"/>
  <c r="B60" i="2"/>
  <c r="AF60" i="2"/>
  <c r="AD60" i="2"/>
  <c r="AB44" i="2"/>
  <c r="D44" i="2"/>
  <c r="B44" i="2"/>
  <c r="C44" i="2"/>
  <c r="AE44" i="2"/>
  <c r="AF44" i="2"/>
  <c r="AD44" i="2"/>
  <c r="AB28" i="2"/>
  <c r="D28" i="2"/>
  <c r="B28" i="2"/>
  <c r="C28" i="2"/>
  <c r="AE28" i="2"/>
  <c r="AA28" i="2"/>
  <c r="AF28" i="2"/>
  <c r="AD28" i="2"/>
  <c r="AB12" i="2"/>
  <c r="D12" i="2"/>
  <c r="B12" i="2"/>
  <c r="AE12" i="2"/>
  <c r="AA12" i="2"/>
  <c r="AF12" i="2"/>
  <c r="AD12" i="2"/>
  <c r="M205" i="2"/>
  <c r="M157" i="2"/>
  <c r="M141" i="2"/>
  <c r="M93" i="2"/>
  <c r="M29" i="2"/>
  <c r="M13" i="2"/>
  <c r="N165" i="2"/>
  <c r="N133" i="2"/>
  <c r="N116" i="2"/>
  <c r="N100" i="2"/>
  <c r="N84" i="2"/>
  <c r="N68" i="2"/>
  <c r="N52" i="2"/>
  <c r="N36" i="2"/>
  <c r="N20" i="2"/>
  <c r="O203" i="2"/>
  <c r="O172" i="2"/>
  <c r="O142" i="2"/>
  <c r="O121" i="2"/>
  <c r="O96" i="2"/>
  <c r="O52" i="2"/>
  <c r="P192" i="2"/>
  <c r="P167" i="2"/>
  <c r="P142" i="2"/>
  <c r="P115" i="2"/>
  <c r="P86" i="2"/>
  <c r="P54" i="2"/>
  <c r="P22" i="2"/>
  <c r="Q188" i="2"/>
  <c r="Q148" i="2"/>
  <c r="Q92" i="2"/>
  <c r="Q39" i="2"/>
  <c r="AD203" i="2"/>
  <c r="AE178" i="2"/>
  <c r="AE97" i="2"/>
  <c r="C121" i="2"/>
  <c r="D48" i="2"/>
  <c r="AA44" i="2"/>
  <c r="D118" i="2"/>
  <c r="B118" i="2"/>
  <c r="AA118" i="2"/>
  <c r="C118" i="2"/>
  <c r="AB118" i="2"/>
  <c r="AE118" i="2"/>
  <c r="AF118" i="2"/>
  <c r="AD118" i="2"/>
  <c r="O86" i="2"/>
  <c r="P183" i="2"/>
  <c r="D149" i="2"/>
  <c r="B149" i="2"/>
  <c r="AA149" i="2"/>
  <c r="C149" i="2"/>
  <c r="AE149" i="2"/>
  <c r="AB149" i="2"/>
  <c r="P149" i="2"/>
  <c r="AF149" i="2"/>
  <c r="AD149" i="2"/>
  <c r="Q21" i="2"/>
  <c r="C173" i="2"/>
  <c r="AB173" i="2"/>
  <c r="D173" i="2"/>
  <c r="AF173" i="2"/>
  <c r="AD173" i="2"/>
  <c r="Q173" i="2"/>
  <c r="B173" i="2"/>
  <c r="AE173" i="2"/>
  <c r="C109" i="2"/>
  <c r="AB109" i="2"/>
  <c r="D109" i="2"/>
  <c r="B109" i="2"/>
  <c r="AF109" i="2"/>
  <c r="AD109" i="2"/>
  <c r="Q109" i="2"/>
  <c r="AA109" i="2"/>
  <c r="AE109" i="2"/>
  <c r="C45" i="2"/>
  <c r="AB45" i="2"/>
  <c r="D45" i="2"/>
  <c r="B45" i="2"/>
  <c r="AF45" i="2"/>
  <c r="AD45" i="2"/>
  <c r="Q45" i="2"/>
  <c r="AE45" i="2"/>
  <c r="AB203" i="2"/>
  <c r="D203" i="2"/>
  <c r="AA203" i="2"/>
  <c r="Q203" i="2"/>
  <c r="B203" i="2"/>
  <c r="AE203" i="2"/>
  <c r="C203" i="2"/>
  <c r="P203" i="2"/>
  <c r="AB187" i="2"/>
  <c r="D187" i="2"/>
  <c r="AA187" i="2"/>
  <c r="Q187" i="2"/>
  <c r="C187" i="2"/>
  <c r="B187" i="2"/>
  <c r="AE187" i="2"/>
  <c r="P187" i="2"/>
  <c r="AB171" i="2"/>
  <c r="D171" i="2"/>
  <c r="AA171" i="2"/>
  <c r="Q171" i="2"/>
  <c r="B171" i="2"/>
  <c r="AE171" i="2"/>
  <c r="P171" i="2"/>
  <c r="AB155" i="2"/>
  <c r="D155" i="2"/>
  <c r="AA155" i="2"/>
  <c r="Q155" i="2"/>
  <c r="AE155" i="2"/>
  <c r="B155" i="2"/>
  <c r="C155" i="2"/>
  <c r="P155" i="2"/>
  <c r="AB139" i="2"/>
  <c r="D139" i="2"/>
  <c r="AA139" i="2"/>
  <c r="Q139" i="2"/>
  <c r="C139" i="2"/>
  <c r="AE139" i="2"/>
  <c r="R139" i="2"/>
  <c r="P139" i="2"/>
  <c r="B139" i="2"/>
  <c r="AB123" i="2"/>
  <c r="D123" i="2"/>
  <c r="AA123" i="2"/>
  <c r="Q123" i="2"/>
  <c r="B123" i="2"/>
  <c r="AE123" i="2"/>
  <c r="P123" i="2"/>
  <c r="C123" i="2"/>
  <c r="AB107" i="2"/>
  <c r="D107" i="2"/>
  <c r="AA107" i="2"/>
  <c r="Q107" i="2"/>
  <c r="AE107" i="2"/>
  <c r="C107" i="2"/>
  <c r="R107" i="2"/>
  <c r="P107" i="2"/>
  <c r="AB91" i="2"/>
  <c r="D91" i="2"/>
  <c r="B91" i="2"/>
  <c r="AA91" i="2"/>
  <c r="Q91" i="2"/>
  <c r="C91" i="2"/>
  <c r="AE91" i="2"/>
  <c r="P91" i="2"/>
  <c r="AB75" i="2"/>
  <c r="D75" i="2"/>
  <c r="B75" i="2"/>
  <c r="AA75" i="2"/>
  <c r="C75" i="2"/>
  <c r="Q75" i="2"/>
  <c r="AE75" i="2"/>
  <c r="P75" i="2"/>
  <c r="AB59" i="2"/>
  <c r="D59" i="2"/>
  <c r="B59" i="2"/>
  <c r="AA59" i="2"/>
  <c r="Q59" i="2"/>
  <c r="AE59" i="2"/>
  <c r="P59" i="2"/>
  <c r="C59" i="2"/>
  <c r="AB43" i="2"/>
  <c r="D43" i="2"/>
  <c r="B43" i="2"/>
  <c r="AA43" i="2"/>
  <c r="Q43" i="2"/>
  <c r="C43" i="2"/>
  <c r="AE43" i="2"/>
  <c r="P43" i="2"/>
  <c r="AB27" i="2"/>
  <c r="D27" i="2"/>
  <c r="B27" i="2"/>
  <c r="AA27" i="2"/>
  <c r="C27" i="2"/>
  <c r="Q27" i="2"/>
  <c r="AE27" i="2"/>
  <c r="P27" i="2"/>
  <c r="AB11" i="2"/>
  <c r="D11" i="2"/>
  <c r="B11" i="2"/>
  <c r="AA11" i="2"/>
  <c r="O11" i="2"/>
  <c r="Q11" i="2"/>
  <c r="AE11" i="2"/>
  <c r="P11" i="2"/>
  <c r="M204" i="2"/>
  <c r="M188" i="2"/>
  <c r="M172" i="2"/>
  <c r="M156" i="2"/>
  <c r="M140" i="2"/>
  <c r="K140" i="2" s="1"/>
  <c r="M124" i="2"/>
  <c r="M108" i="2"/>
  <c r="M92" i="2"/>
  <c r="M76" i="2"/>
  <c r="M60" i="2"/>
  <c r="M44" i="2"/>
  <c r="M28" i="2"/>
  <c r="L28" i="2" s="1"/>
  <c r="M12" i="2"/>
  <c r="N196" i="2"/>
  <c r="N180" i="2"/>
  <c r="N164" i="2"/>
  <c r="N148" i="2"/>
  <c r="N132" i="2"/>
  <c r="N115" i="2"/>
  <c r="N99" i="2"/>
  <c r="N83" i="2"/>
  <c r="N67" i="2"/>
  <c r="N51" i="2"/>
  <c r="N35" i="2"/>
  <c r="N19" i="2"/>
  <c r="O202" i="2"/>
  <c r="O141" i="2"/>
  <c r="O120" i="2"/>
  <c r="O95" i="2"/>
  <c r="O73" i="2"/>
  <c r="O50" i="2"/>
  <c r="O21" i="2"/>
  <c r="P191" i="2"/>
  <c r="P166" i="2"/>
  <c r="P141" i="2"/>
  <c r="P112" i="2"/>
  <c r="P84" i="2"/>
  <c r="P52" i="2"/>
  <c r="P20" i="2"/>
  <c r="Q183" i="2"/>
  <c r="Q140" i="2"/>
  <c r="Q87" i="2"/>
  <c r="Q38" i="2"/>
  <c r="AD202" i="2"/>
  <c r="AD139" i="2"/>
  <c r="AE177" i="2"/>
  <c r="AE83" i="2"/>
  <c r="AF27" i="2"/>
  <c r="B132" i="2"/>
  <c r="C120" i="2"/>
  <c r="AB132" i="2"/>
  <c r="AB119" i="2"/>
  <c r="D119" i="2"/>
  <c r="L119" i="2" s="1"/>
  <c r="B119" i="2"/>
  <c r="AA119" i="2"/>
  <c r="C119" i="2"/>
  <c r="AE119" i="2"/>
  <c r="P119" i="2"/>
  <c r="R119" i="2"/>
  <c r="AF119" i="2"/>
  <c r="AD119" i="2"/>
  <c r="D134" i="2"/>
  <c r="B134" i="2"/>
  <c r="AA134" i="2"/>
  <c r="C134" i="2"/>
  <c r="AB134" i="2"/>
  <c r="AE134" i="2"/>
  <c r="AF134" i="2"/>
  <c r="AD134" i="2"/>
  <c r="D181" i="2"/>
  <c r="AA181" i="2"/>
  <c r="C181" i="2"/>
  <c r="B181" i="2"/>
  <c r="AE181" i="2"/>
  <c r="P181" i="2"/>
  <c r="AB181" i="2"/>
  <c r="AF181" i="2"/>
  <c r="AD181" i="2"/>
  <c r="D69" i="2"/>
  <c r="B69" i="2"/>
  <c r="AA69" i="2"/>
  <c r="C69" i="2"/>
  <c r="AE69" i="2"/>
  <c r="P69" i="2"/>
  <c r="AB69" i="2"/>
  <c r="AF69" i="2"/>
  <c r="AD69" i="2"/>
  <c r="M182" i="2"/>
  <c r="M118" i="2"/>
  <c r="M70" i="2"/>
  <c r="M54" i="2"/>
  <c r="M22" i="2"/>
  <c r="Q119" i="2"/>
  <c r="C125" i="2"/>
  <c r="AB125" i="2"/>
  <c r="D125" i="2"/>
  <c r="B125" i="2"/>
  <c r="AF125" i="2"/>
  <c r="AD125" i="2"/>
  <c r="Q125" i="2"/>
  <c r="AA125" i="2"/>
  <c r="AE125" i="2"/>
  <c r="C61" i="2"/>
  <c r="AB61" i="2"/>
  <c r="D61" i="2"/>
  <c r="B61" i="2"/>
  <c r="AF61" i="2"/>
  <c r="AD61" i="2"/>
  <c r="Q61" i="2"/>
  <c r="AE61" i="2"/>
  <c r="AA61" i="2"/>
  <c r="AB202" i="2"/>
  <c r="D202" i="2"/>
  <c r="AA202" i="2"/>
  <c r="Q202" i="2"/>
  <c r="B202" i="2"/>
  <c r="AE202" i="2"/>
  <c r="C202" i="2"/>
  <c r="P202" i="2"/>
  <c r="AB186" i="2"/>
  <c r="D186" i="2"/>
  <c r="AA186" i="2"/>
  <c r="Q186" i="2"/>
  <c r="C186" i="2"/>
  <c r="B186" i="2"/>
  <c r="AE186" i="2"/>
  <c r="P186" i="2"/>
  <c r="AB170" i="2"/>
  <c r="D170" i="2"/>
  <c r="AA170" i="2"/>
  <c r="Q170" i="2"/>
  <c r="B170" i="2"/>
  <c r="AE170" i="2"/>
  <c r="P170" i="2"/>
  <c r="AB154" i="2"/>
  <c r="D154" i="2"/>
  <c r="B154" i="2"/>
  <c r="AA154" i="2"/>
  <c r="Q154" i="2"/>
  <c r="AE154" i="2"/>
  <c r="R154" i="2"/>
  <c r="C154" i="2"/>
  <c r="P154" i="2"/>
  <c r="AB138" i="2"/>
  <c r="D138" i="2"/>
  <c r="B138" i="2"/>
  <c r="AA138" i="2"/>
  <c r="Q138" i="2"/>
  <c r="C138" i="2"/>
  <c r="AE138" i="2"/>
  <c r="P138" i="2"/>
  <c r="AB122" i="2"/>
  <c r="D122" i="2"/>
  <c r="B122" i="2"/>
  <c r="AA122" i="2"/>
  <c r="Q122" i="2"/>
  <c r="AE122" i="2"/>
  <c r="P122" i="2"/>
  <c r="AB106" i="2"/>
  <c r="D106" i="2"/>
  <c r="B106" i="2"/>
  <c r="AA106" i="2"/>
  <c r="Q106" i="2"/>
  <c r="AE106" i="2"/>
  <c r="C106" i="2"/>
  <c r="P106" i="2"/>
  <c r="AB90" i="2"/>
  <c r="D90" i="2"/>
  <c r="B90" i="2"/>
  <c r="AA90" i="2"/>
  <c r="Q90" i="2"/>
  <c r="C90" i="2"/>
  <c r="AE90" i="2"/>
  <c r="P90" i="2"/>
  <c r="AB74" i="2"/>
  <c r="D74" i="2"/>
  <c r="B74" i="2"/>
  <c r="AA74" i="2"/>
  <c r="Q74" i="2"/>
  <c r="AE74" i="2"/>
  <c r="P74" i="2"/>
  <c r="C74" i="2"/>
  <c r="AB58" i="2"/>
  <c r="D58" i="2"/>
  <c r="B58" i="2"/>
  <c r="AA58" i="2"/>
  <c r="Q58" i="2"/>
  <c r="AE58" i="2"/>
  <c r="P58" i="2"/>
  <c r="C58" i="2"/>
  <c r="AB42" i="2"/>
  <c r="D42" i="2"/>
  <c r="B42" i="2"/>
  <c r="AA42" i="2"/>
  <c r="Q42" i="2"/>
  <c r="C42" i="2"/>
  <c r="AE42" i="2"/>
  <c r="P42" i="2"/>
  <c r="AB26" i="2"/>
  <c r="D26" i="2"/>
  <c r="B26" i="2"/>
  <c r="AA26" i="2"/>
  <c r="C26" i="2"/>
  <c r="Q26" i="2"/>
  <c r="AE26" i="2"/>
  <c r="P26" i="2"/>
  <c r="AB10" i="2"/>
  <c r="D10" i="2"/>
  <c r="B10" i="2"/>
  <c r="AA10" i="2"/>
  <c r="O10" i="2"/>
  <c r="Q10" i="2"/>
  <c r="AE10" i="2"/>
  <c r="P10" i="2"/>
  <c r="C10" i="2"/>
  <c r="M203" i="2"/>
  <c r="L203" i="2" s="1"/>
  <c r="M187" i="2"/>
  <c r="M171" i="2"/>
  <c r="M155" i="2"/>
  <c r="M139" i="2"/>
  <c r="M123" i="2"/>
  <c r="M107" i="2"/>
  <c r="M91" i="2"/>
  <c r="M75" i="2"/>
  <c r="M59" i="2"/>
  <c r="M43" i="2"/>
  <c r="M27" i="2"/>
  <c r="M11" i="2"/>
  <c r="N195" i="2"/>
  <c r="N179" i="2"/>
  <c r="N163" i="2"/>
  <c r="N147" i="2"/>
  <c r="N131" i="2"/>
  <c r="N114" i="2"/>
  <c r="N98" i="2"/>
  <c r="N82" i="2"/>
  <c r="N66" i="2"/>
  <c r="N50" i="2"/>
  <c r="N34" i="2"/>
  <c r="N18" i="2"/>
  <c r="O201" i="2"/>
  <c r="O167" i="2"/>
  <c r="O140" i="2"/>
  <c r="O118" i="2"/>
  <c r="O91" i="2"/>
  <c r="O71" i="2"/>
  <c r="O47" i="2"/>
  <c r="O19" i="2"/>
  <c r="P190" i="2"/>
  <c r="P164" i="2"/>
  <c r="P140" i="2"/>
  <c r="P111" i="2"/>
  <c r="P80" i="2"/>
  <c r="P48" i="2"/>
  <c r="P16" i="2"/>
  <c r="Q182" i="2"/>
  <c r="Q135" i="2"/>
  <c r="Q86" i="2"/>
  <c r="Q37" i="2"/>
  <c r="AD201" i="2"/>
  <c r="AD138" i="2"/>
  <c r="AE163" i="2"/>
  <c r="AE82" i="2"/>
  <c r="AF107" i="2"/>
  <c r="AF26" i="2"/>
  <c r="B131" i="2"/>
  <c r="AB117" i="2"/>
  <c r="AB183" i="2"/>
  <c r="D183" i="2"/>
  <c r="AA183" i="2"/>
  <c r="C183" i="2"/>
  <c r="B183" i="2"/>
  <c r="AE183" i="2"/>
  <c r="AF183" i="2"/>
  <c r="AD183" i="2"/>
  <c r="D102" i="2"/>
  <c r="B102" i="2"/>
  <c r="AA102" i="2"/>
  <c r="C102" i="2"/>
  <c r="AB102" i="2"/>
  <c r="AE102" i="2"/>
  <c r="AF102" i="2"/>
  <c r="AD102" i="2"/>
  <c r="M199" i="2"/>
  <c r="M135" i="2"/>
  <c r="M87" i="2"/>
  <c r="M23" i="2"/>
  <c r="L23" i="2" s="1"/>
  <c r="D197" i="2"/>
  <c r="AA197" i="2"/>
  <c r="C197" i="2"/>
  <c r="B197" i="2"/>
  <c r="AE197" i="2"/>
  <c r="P197" i="2"/>
  <c r="AB197" i="2"/>
  <c r="AF197" i="2"/>
  <c r="AD197" i="2"/>
  <c r="D101" i="2"/>
  <c r="B101" i="2"/>
  <c r="AA101" i="2"/>
  <c r="C101" i="2"/>
  <c r="AE101" i="2"/>
  <c r="P101" i="2"/>
  <c r="AF101" i="2"/>
  <c r="AD101" i="2"/>
  <c r="AB101" i="2"/>
  <c r="M166" i="2"/>
  <c r="M134" i="2"/>
  <c r="M102" i="2"/>
  <c r="L102" i="2" s="1"/>
  <c r="M38" i="2"/>
  <c r="O85" i="2"/>
  <c r="Q70" i="2"/>
  <c r="C189" i="2"/>
  <c r="AB189" i="2"/>
  <c r="D189" i="2"/>
  <c r="AF189" i="2"/>
  <c r="AD189" i="2"/>
  <c r="R189" i="2"/>
  <c r="Q189" i="2"/>
  <c r="B189" i="2"/>
  <c r="AE189" i="2"/>
  <c r="AA189" i="2"/>
  <c r="C77" i="2"/>
  <c r="AB77" i="2"/>
  <c r="D77" i="2"/>
  <c r="B77" i="2"/>
  <c r="AF77" i="2"/>
  <c r="AD77" i="2"/>
  <c r="AA77" i="2"/>
  <c r="Q77" i="2"/>
  <c r="AE77" i="2"/>
  <c r="AB201" i="2"/>
  <c r="D201" i="2"/>
  <c r="AA201" i="2"/>
  <c r="Q201" i="2"/>
  <c r="B201" i="2"/>
  <c r="AE201" i="2"/>
  <c r="C201" i="2"/>
  <c r="AB185" i="2"/>
  <c r="D185" i="2"/>
  <c r="AA185" i="2"/>
  <c r="Q185" i="2"/>
  <c r="C185" i="2"/>
  <c r="B185" i="2"/>
  <c r="AE185" i="2"/>
  <c r="AB169" i="2"/>
  <c r="D169" i="2"/>
  <c r="AA169" i="2"/>
  <c r="Q169" i="2"/>
  <c r="B169" i="2"/>
  <c r="AE169" i="2"/>
  <c r="AB153" i="2"/>
  <c r="D153" i="2"/>
  <c r="AA153" i="2"/>
  <c r="Q153" i="2"/>
  <c r="AE153" i="2"/>
  <c r="C153" i="2"/>
  <c r="B153" i="2"/>
  <c r="AB137" i="2"/>
  <c r="D137" i="2"/>
  <c r="AA137" i="2"/>
  <c r="Q137" i="2"/>
  <c r="C137" i="2"/>
  <c r="AE137" i="2"/>
  <c r="R137" i="2"/>
  <c r="AB121" i="2"/>
  <c r="D121" i="2"/>
  <c r="AA121" i="2"/>
  <c r="Q121" i="2"/>
  <c r="AE121" i="2"/>
  <c r="B121" i="2"/>
  <c r="AB105" i="2"/>
  <c r="D105" i="2"/>
  <c r="AA105" i="2"/>
  <c r="Q105" i="2"/>
  <c r="AE105" i="2"/>
  <c r="C105" i="2"/>
  <c r="AB89" i="2"/>
  <c r="D89" i="2"/>
  <c r="B89" i="2"/>
  <c r="AA89" i="2"/>
  <c r="Q89" i="2"/>
  <c r="C89" i="2"/>
  <c r="AE89" i="2"/>
  <c r="AB73" i="2"/>
  <c r="D73" i="2"/>
  <c r="B73" i="2"/>
  <c r="AA73" i="2"/>
  <c r="Q73" i="2"/>
  <c r="AE73" i="2"/>
  <c r="AB57" i="2"/>
  <c r="D57" i="2"/>
  <c r="B57" i="2"/>
  <c r="AA57" i="2"/>
  <c r="Q57" i="2"/>
  <c r="AE57" i="2"/>
  <c r="C57" i="2"/>
  <c r="AB41" i="2"/>
  <c r="D41" i="2"/>
  <c r="B41" i="2"/>
  <c r="AA41" i="2"/>
  <c r="Q41" i="2"/>
  <c r="C41" i="2"/>
  <c r="AE41" i="2"/>
  <c r="AB25" i="2"/>
  <c r="D25" i="2"/>
  <c r="B25" i="2"/>
  <c r="AA25" i="2"/>
  <c r="Q25" i="2"/>
  <c r="AE25" i="2"/>
  <c r="C25" i="2"/>
  <c r="AB9" i="2"/>
  <c r="D9" i="2"/>
  <c r="B9" i="2"/>
  <c r="AA9" i="2"/>
  <c r="Q9" i="2"/>
  <c r="AE9" i="2"/>
  <c r="C9" i="2"/>
  <c r="M202" i="2"/>
  <c r="M186" i="2"/>
  <c r="M170" i="2"/>
  <c r="M154" i="2"/>
  <c r="M138" i="2"/>
  <c r="M122" i="2"/>
  <c r="M106" i="2"/>
  <c r="M90" i="2"/>
  <c r="K90" i="2" s="1"/>
  <c r="M74" i="2"/>
  <c r="M58" i="2"/>
  <c r="M42" i="2"/>
  <c r="M26" i="2"/>
  <c r="M10" i="2"/>
  <c r="L10" i="2" s="1"/>
  <c r="N194" i="2"/>
  <c r="N178" i="2"/>
  <c r="N162" i="2"/>
  <c r="N146" i="2"/>
  <c r="N130" i="2"/>
  <c r="N113" i="2"/>
  <c r="N97" i="2"/>
  <c r="N81" i="2"/>
  <c r="N65" i="2"/>
  <c r="N49" i="2"/>
  <c r="N33" i="2"/>
  <c r="N17" i="2"/>
  <c r="O197" i="2"/>
  <c r="O165" i="2"/>
  <c r="O138" i="2"/>
  <c r="O116" i="2"/>
  <c r="O90" i="2"/>
  <c r="O67" i="2"/>
  <c r="O46" i="2"/>
  <c r="O18" i="2"/>
  <c r="P189" i="2"/>
  <c r="P163" i="2"/>
  <c r="P137" i="2"/>
  <c r="P110" i="2"/>
  <c r="P79" i="2"/>
  <c r="P47" i="2"/>
  <c r="P15" i="2"/>
  <c r="Q181" i="2"/>
  <c r="Q134" i="2"/>
  <c r="Q85" i="2"/>
  <c r="Q36" i="2"/>
  <c r="AD200" i="2"/>
  <c r="AD137" i="2"/>
  <c r="AD43" i="2"/>
  <c r="AE162" i="2"/>
  <c r="AE81" i="2"/>
  <c r="AF187" i="2"/>
  <c r="AF106" i="2"/>
  <c r="AF25" i="2"/>
  <c r="B108" i="2"/>
  <c r="C72" i="2"/>
  <c r="AB116" i="2"/>
  <c r="L158" i="2"/>
  <c r="AC18" i="2" l="1"/>
  <c r="L104" i="2"/>
  <c r="L49" i="2"/>
  <c r="L61" i="2"/>
  <c r="L152" i="2"/>
  <c r="L189" i="2"/>
  <c r="L206" i="2"/>
  <c r="L188" i="2"/>
  <c r="L88" i="2"/>
  <c r="L34" i="2"/>
  <c r="L29" i="2"/>
  <c r="L93" i="2"/>
  <c r="K166" i="2"/>
  <c r="L125" i="2"/>
  <c r="L94" i="2"/>
  <c r="L190" i="2"/>
  <c r="L72" i="2"/>
  <c r="L24" i="2"/>
  <c r="L55" i="2"/>
  <c r="L156" i="2"/>
  <c r="L124" i="2"/>
  <c r="L79" i="2"/>
  <c r="L51" i="2"/>
  <c r="L141" i="2"/>
  <c r="L200" i="2"/>
  <c r="L183" i="2"/>
  <c r="L170" i="2"/>
  <c r="L157" i="2"/>
  <c r="L100" i="2"/>
  <c r="L132" i="2"/>
  <c r="K206" i="2"/>
  <c r="S207" i="2"/>
  <c r="T207" i="2" s="1"/>
  <c r="K16" i="2"/>
  <c r="L140" i="2"/>
  <c r="U5" i="2"/>
  <c r="AD5" i="2"/>
  <c r="AE5" i="2"/>
  <c r="AA5" i="2"/>
  <c r="W5" i="2"/>
  <c r="L64" i="2"/>
  <c r="L174" i="2"/>
  <c r="AF5" i="2"/>
  <c r="V5" i="2"/>
  <c r="AB5" i="2"/>
  <c r="L110" i="2"/>
  <c r="L108" i="2"/>
  <c r="K197" i="2"/>
  <c r="L45" i="2"/>
  <c r="L120" i="2"/>
  <c r="L205" i="2"/>
  <c r="L136" i="2"/>
  <c r="L173" i="2"/>
  <c r="K8" i="2"/>
  <c r="L40" i="2"/>
  <c r="L92" i="2"/>
  <c r="L46" i="2"/>
  <c r="L56" i="2"/>
  <c r="L78" i="2"/>
  <c r="L128" i="2"/>
  <c r="L163" i="2"/>
  <c r="L193" i="2"/>
  <c r="L199" i="2"/>
  <c r="L27" i="2"/>
  <c r="L138" i="2"/>
  <c r="L11" i="2"/>
  <c r="K203" i="2"/>
  <c r="L101" i="2"/>
  <c r="L145" i="2"/>
  <c r="L47" i="2"/>
  <c r="L13" i="2"/>
  <c r="L58" i="2"/>
  <c r="L196" i="2"/>
  <c r="L142" i="2"/>
  <c r="L150" i="2"/>
  <c r="L162" i="2"/>
  <c r="L54" i="2"/>
  <c r="L171" i="2"/>
  <c r="L184" i="2"/>
  <c r="L109" i="2"/>
  <c r="L126" i="2"/>
  <c r="L96" i="2"/>
  <c r="K77" i="2"/>
  <c r="L90" i="2"/>
  <c r="L65" i="2"/>
  <c r="L95" i="2"/>
  <c r="K102" i="2"/>
  <c r="L135" i="2"/>
  <c r="L204" i="2"/>
  <c r="L7" i="2"/>
  <c r="L180" i="2"/>
  <c r="L194" i="2"/>
  <c r="L133" i="2"/>
  <c r="L106" i="2"/>
  <c r="K10" i="2"/>
  <c r="L122" i="2"/>
  <c r="L155" i="2"/>
  <c r="L182" i="2"/>
  <c r="L36" i="2"/>
  <c r="L30" i="2"/>
  <c r="L168" i="2"/>
  <c r="K23" i="2"/>
  <c r="L82" i="2"/>
  <c r="L179" i="2"/>
  <c r="L178" i="2"/>
  <c r="L70" i="2"/>
  <c r="L117" i="2"/>
  <c r="L134" i="2"/>
  <c r="L186" i="2"/>
  <c r="L76" i="2"/>
  <c r="L60" i="2"/>
  <c r="L80" i="2"/>
  <c r="L52" i="2"/>
  <c r="L21" i="2"/>
  <c r="L68" i="2"/>
  <c r="L14" i="2"/>
  <c r="L42" i="2"/>
  <c r="L15" i="2"/>
  <c r="L131" i="2"/>
  <c r="L62" i="2"/>
  <c r="L31" i="2"/>
  <c r="K17" i="2"/>
  <c r="L66" i="2"/>
  <c r="L147" i="2"/>
  <c r="L84" i="2"/>
  <c r="L86" i="2"/>
  <c r="L144" i="2"/>
  <c r="L98" i="2"/>
  <c r="L116" i="2"/>
  <c r="L195" i="2"/>
  <c r="L172" i="2"/>
  <c r="L192" i="2"/>
  <c r="L97" i="2"/>
  <c r="L146" i="2"/>
  <c r="L91" i="2"/>
  <c r="L127" i="2"/>
  <c r="L113" i="2"/>
  <c r="K107" i="2"/>
  <c r="L129" i="2"/>
  <c r="L159" i="2"/>
  <c r="L19" i="2"/>
  <c r="L18" i="2"/>
  <c r="L112" i="2"/>
  <c r="L43" i="2"/>
  <c r="L148" i="2"/>
  <c r="L164" i="2"/>
  <c r="L22" i="2"/>
  <c r="L12" i="2"/>
  <c r="L85" i="2"/>
  <c r="L74" i="2"/>
  <c r="L44" i="2"/>
  <c r="L39" i="2"/>
  <c r="L169" i="2"/>
  <c r="L71" i="2"/>
  <c r="L67" i="2"/>
  <c r="L48" i="2"/>
  <c r="L99" i="2"/>
  <c r="AP6" i="4"/>
  <c r="L181" i="2"/>
  <c r="L121" i="2"/>
  <c r="L187" i="2"/>
  <c r="L137" i="2"/>
  <c r="K28" i="2"/>
  <c r="L202" i="2"/>
  <c r="L32" i="2"/>
  <c r="L153" i="2"/>
  <c r="L63" i="2"/>
  <c r="L185" i="2"/>
  <c r="L50" i="2"/>
  <c r="L201" i="2"/>
  <c r="L151" i="2"/>
  <c r="L33" i="2"/>
  <c r="L26" i="2"/>
  <c r="L87" i="2"/>
  <c r="L111" i="2"/>
  <c r="L103" i="2"/>
  <c r="L167" i="2"/>
  <c r="L35" i="2"/>
  <c r="L59" i="2"/>
  <c r="L143" i="2"/>
  <c r="L81" i="2"/>
  <c r="L114" i="2"/>
  <c r="L9" i="2"/>
  <c r="L75" i="2"/>
  <c r="L160" i="2"/>
  <c r="L130" i="2"/>
  <c r="L20" i="2"/>
  <c r="L37" i="2"/>
  <c r="L25" i="2"/>
  <c r="L175" i="2"/>
  <c r="L176" i="2"/>
  <c r="L83" i="2"/>
  <c r="L198" i="2"/>
  <c r="L53" i="2"/>
  <c r="L41" i="2"/>
  <c r="L69" i="2"/>
  <c r="L57" i="2"/>
  <c r="L38" i="2"/>
  <c r="L123" i="2"/>
  <c r="L118" i="2"/>
  <c r="L161" i="2"/>
  <c r="L115" i="2"/>
  <c r="L73" i="2"/>
  <c r="K191" i="2"/>
  <c r="K139" i="2"/>
  <c r="L177" i="2"/>
  <c r="L149" i="2"/>
  <c r="K89" i="2"/>
  <c r="L154" i="2"/>
  <c r="L165" i="2"/>
  <c r="L105" i="2"/>
  <c r="AP203" i="3"/>
  <c r="AK203" i="3"/>
  <c r="X206" i="2" s="1"/>
  <c r="Z203" i="3"/>
  <c r="AP202" i="3"/>
  <c r="AK202" i="3"/>
  <c r="X205" i="2" s="1"/>
  <c r="Z202" i="3"/>
  <c r="AP201" i="3"/>
  <c r="AK201" i="3"/>
  <c r="Z201" i="3"/>
  <c r="BE200" i="3"/>
  <c r="Y203" i="2" s="1"/>
  <c r="AP200" i="3"/>
  <c r="AK200" i="3"/>
  <c r="X203" i="2" s="1"/>
  <c r="Z200" i="3"/>
  <c r="AP199" i="3"/>
  <c r="AK199" i="3"/>
  <c r="X202" i="2" s="1"/>
  <c r="Z199" i="3"/>
  <c r="AP198" i="3"/>
  <c r="AK198" i="3"/>
  <c r="X201" i="2" s="1"/>
  <c r="Z198" i="3"/>
  <c r="AP197" i="3"/>
  <c r="AK197" i="3"/>
  <c r="X200" i="2" s="1"/>
  <c r="Z197" i="3"/>
  <c r="AP196" i="3"/>
  <c r="AK196" i="3"/>
  <c r="Z196" i="3"/>
  <c r="AP195" i="3"/>
  <c r="AK195" i="3"/>
  <c r="X198" i="2" s="1"/>
  <c r="Z195" i="3"/>
  <c r="BE194" i="3"/>
  <c r="Y197" i="2" s="1"/>
  <c r="AP194" i="3"/>
  <c r="AK194" i="3"/>
  <c r="X197" i="2" s="1"/>
  <c r="Z194" i="3"/>
  <c r="BE193" i="3"/>
  <c r="Y196" i="2" s="1"/>
  <c r="AP193" i="3"/>
  <c r="AK193" i="3"/>
  <c r="X196" i="2" s="1"/>
  <c r="Z193" i="3"/>
  <c r="BE192" i="3"/>
  <c r="Y195" i="2" s="1"/>
  <c r="AP192" i="3"/>
  <c r="AK192" i="3"/>
  <c r="X195" i="2" s="1"/>
  <c r="Z192" i="3"/>
  <c r="AP191" i="3"/>
  <c r="AL191" i="3"/>
  <c r="AK191" i="3"/>
  <c r="X194" i="2" s="1"/>
  <c r="Z191" i="3"/>
  <c r="AP190" i="3"/>
  <c r="AK190" i="3"/>
  <c r="X193" i="2" s="1"/>
  <c r="Z190" i="3"/>
  <c r="AP189" i="3"/>
  <c r="AK189" i="3"/>
  <c r="X192" i="2" s="1"/>
  <c r="Z189" i="3"/>
  <c r="BE188" i="3"/>
  <c r="Y191" i="2" s="1"/>
  <c r="AP188" i="3"/>
  <c r="AK188" i="3"/>
  <c r="X191" i="2" s="1"/>
  <c r="Z188" i="3"/>
  <c r="AP187" i="3"/>
  <c r="AK187" i="3"/>
  <c r="Z187" i="3"/>
  <c r="AP186" i="3"/>
  <c r="AK186" i="3"/>
  <c r="X189" i="2" s="1"/>
  <c r="Z186" i="3"/>
  <c r="AP185" i="3"/>
  <c r="AK185" i="3"/>
  <c r="X188" i="2" s="1"/>
  <c r="Z185" i="3"/>
  <c r="BE184" i="3"/>
  <c r="Y187" i="2" s="1"/>
  <c r="AP184" i="3"/>
  <c r="AL184" i="3"/>
  <c r="AK184" i="3"/>
  <c r="X187" i="2" s="1"/>
  <c r="Z184" i="3"/>
  <c r="AP183" i="3"/>
  <c r="AK183" i="3"/>
  <c r="X186" i="2" s="1"/>
  <c r="Z183" i="3"/>
  <c r="BE182" i="3"/>
  <c r="Y185" i="2" s="1"/>
  <c r="AP182" i="3"/>
  <c r="AK182" i="3"/>
  <c r="Z182" i="3"/>
  <c r="BE181" i="3"/>
  <c r="Y184" i="2" s="1"/>
  <c r="AP181" i="3"/>
  <c r="AK181" i="3"/>
  <c r="X184" i="2" s="1"/>
  <c r="Z181" i="3"/>
  <c r="AP180" i="3"/>
  <c r="AK180" i="3"/>
  <c r="X183" i="2" s="1"/>
  <c r="Z180" i="3"/>
  <c r="AP179" i="3"/>
  <c r="AK179" i="3"/>
  <c r="X182" i="2" s="1"/>
  <c r="Z179" i="3"/>
  <c r="AP178" i="3"/>
  <c r="AK178" i="3"/>
  <c r="X181" i="2" s="1"/>
  <c r="Z178" i="3"/>
  <c r="AP177" i="3"/>
  <c r="AK177" i="3"/>
  <c r="X180" i="2" s="1"/>
  <c r="Z177" i="3"/>
  <c r="AP176" i="3"/>
  <c r="AK176" i="3"/>
  <c r="X179" i="2" s="1"/>
  <c r="Z176" i="3"/>
  <c r="AP175" i="3"/>
  <c r="AK175" i="3"/>
  <c r="X178" i="2" s="1"/>
  <c r="Z175" i="3"/>
  <c r="AP174" i="3"/>
  <c r="AK174" i="3"/>
  <c r="X177" i="2" s="1"/>
  <c r="Z174" i="3"/>
  <c r="AP173" i="3"/>
  <c r="AK173" i="3"/>
  <c r="X176" i="2" s="1"/>
  <c r="Z173" i="3"/>
  <c r="AP172" i="3"/>
  <c r="AK172" i="3"/>
  <c r="X175" i="2" s="1"/>
  <c r="Z172" i="3"/>
  <c r="AP171" i="3"/>
  <c r="AK171" i="3"/>
  <c r="X174" i="2" s="1"/>
  <c r="Z171" i="3"/>
  <c r="AP170" i="3"/>
  <c r="AK170" i="3"/>
  <c r="X173" i="2" s="1"/>
  <c r="Z170" i="3"/>
  <c r="AP169" i="3"/>
  <c r="AK169" i="3"/>
  <c r="X172" i="2" s="1"/>
  <c r="Z169" i="3"/>
  <c r="AP168" i="3"/>
  <c r="AK168" i="3"/>
  <c r="X171" i="2" s="1"/>
  <c r="Z168" i="3"/>
  <c r="BE167" i="3"/>
  <c r="Y170" i="2" s="1"/>
  <c r="AP167" i="3"/>
  <c r="AK167" i="3"/>
  <c r="X170" i="2" s="1"/>
  <c r="Z167" i="3"/>
  <c r="AP166" i="3"/>
  <c r="AK166" i="3"/>
  <c r="Z166" i="3"/>
  <c r="AP165" i="3"/>
  <c r="AK165" i="3"/>
  <c r="X168" i="2" s="1"/>
  <c r="Z165" i="3"/>
  <c r="AP164" i="3"/>
  <c r="AK164" i="3"/>
  <c r="X167" i="2" s="1"/>
  <c r="Z164" i="3"/>
  <c r="BE163" i="3"/>
  <c r="Y166" i="2" s="1"/>
  <c r="AP163" i="3"/>
  <c r="AK163" i="3"/>
  <c r="X166" i="2" s="1"/>
  <c r="Z163" i="3"/>
  <c r="AP162" i="3"/>
  <c r="AK162" i="3"/>
  <c r="X165" i="2" s="1"/>
  <c r="Z162" i="3"/>
  <c r="BE161" i="3"/>
  <c r="Y164" i="2" s="1"/>
  <c r="AP161" i="3"/>
  <c r="AK161" i="3"/>
  <c r="X164" i="2" s="1"/>
  <c r="Z161" i="3"/>
  <c r="AP160" i="3"/>
  <c r="AK160" i="3"/>
  <c r="X163" i="2" s="1"/>
  <c r="Z160" i="3"/>
  <c r="BE159" i="3"/>
  <c r="Y162" i="2" s="1"/>
  <c r="AP159" i="3"/>
  <c r="AK159" i="3"/>
  <c r="X162" i="2" s="1"/>
  <c r="Z159" i="3"/>
  <c r="BE158" i="3"/>
  <c r="Y161" i="2" s="1"/>
  <c r="AP158" i="3"/>
  <c r="AK158" i="3"/>
  <c r="X161" i="2" s="1"/>
  <c r="Z158" i="3"/>
  <c r="AP157" i="3"/>
  <c r="AK157" i="3"/>
  <c r="X160" i="2" s="1"/>
  <c r="Z157" i="3"/>
  <c r="AP156" i="3"/>
  <c r="AK156" i="3"/>
  <c r="X159" i="2" s="1"/>
  <c r="Z156" i="3"/>
  <c r="AP155" i="3"/>
  <c r="AK155" i="3"/>
  <c r="X158" i="2" s="1"/>
  <c r="Z155" i="3"/>
  <c r="AP154" i="3"/>
  <c r="AK154" i="3"/>
  <c r="X157" i="2" s="1"/>
  <c r="Z154" i="3"/>
  <c r="AP153" i="3"/>
  <c r="AK153" i="3"/>
  <c r="X156" i="2" s="1"/>
  <c r="Z153" i="3"/>
  <c r="BE152" i="3"/>
  <c r="Y155" i="2" s="1"/>
  <c r="AP152" i="3"/>
  <c r="AK152" i="3"/>
  <c r="X155" i="2" s="1"/>
  <c r="Z152" i="3"/>
  <c r="BE151" i="3"/>
  <c r="Y154" i="2" s="1"/>
  <c r="AP151" i="3"/>
  <c r="AK151" i="3"/>
  <c r="X154" i="2" s="1"/>
  <c r="Z151" i="3"/>
  <c r="BE150" i="3"/>
  <c r="Y153" i="2" s="1"/>
  <c r="AP150" i="3"/>
  <c r="AK150" i="3"/>
  <c r="Z150" i="3"/>
  <c r="BE149" i="3"/>
  <c r="Y152" i="2" s="1"/>
  <c r="AP149" i="3"/>
  <c r="AK149" i="3"/>
  <c r="X152" i="2" s="1"/>
  <c r="Z149" i="3"/>
  <c r="BE148" i="3"/>
  <c r="Y151" i="2" s="1"/>
  <c r="AP148" i="3"/>
  <c r="AK148" i="3"/>
  <c r="X151" i="2" s="1"/>
  <c r="Z148" i="3"/>
  <c r="BE147" i="3"/>
  <c r="Y150" i="2" s="1"/>
  <c r="AP147" i="3"/>
  <c r="AK147" i="3"/>
  <c r="X150" i="2" s="1"/>
  <c r="Z147" i="3"/>
  <c r="BE146" i="3"/>
  <c r="Y149" i="2" s="1"/>
  <c r="AP146" i="3"/>
  <c r="AK146" i="3"/>
  <c r="X149" i="2" s="1"/>
  <c r="Z146" i="3"/>
  <c r="BE145" i="3"/>
  <c r="Y148" i="2" s="1"/>
  <c r="AP145" i="3"/>
  <c r="AK145" i="3"/>
  <c r="Z145" i="3"/>
  <c r="BE144" i="3"/>
  <c r="Y147" i="2" s="1"/>
  <c r="AP144" i="3"/>
  <c r="AK144" i="3"/>
  <c r="X147" i="2" s="1"/>
  <c r="Z144" i="3"/>
  <c r="AP143" i="3"/>
  <c r="AK143" i="3"/>
  <c r="X146" i="2" s="1"/>
  <c r="Z143" i="3"/>
  <c r="BE142" i="3"/>
  <c r="Y145" i="2" s="1"/>
  <c r="AP142" i="3"/>
  <c r="AK142" i="3"/>
  <c r="X145" i="2" s="1"/>
  <c r="Z142" i="3"/>
  <c r="BE141" i="3"/>
  <c r="Y144" i="2" s="1"/>
  <c r="BB141" i="3"/>
  <c r="AP141" i="3"/>
  <c r="AK141" i="3"/>
  <c r="Z141" i="3"/>
  <c r="BE140" i="3"/>
  <c r="Y143" i="2" s="1"/>
  <c r="AP140" i="3"/>
  <c r="AK140" i="3"/>
  <c r="X143" i="2" s="1"/>
  <c r="Z140" i="3"/>
  <c r="BE139" i="3"/>
  <c r="Y142" i="2" s="1"/>
  <c r="AP139" i="3"/>
  <c r="AK139" i="3"/>
  <c r="X142" i="2" s="1"/>
  <c r="Z139" i="3"/>
  <c r="BE138" i="3"/>
  <c r="Y141" i="2" s="1"/>
  <c r="AP138" i="3"/>
  <c r="AK138" i="3"/>
  <c r="X141" i="2" s="1"/>
  <c r="Z138" i="3"/>
  <c r="BE137" i="3"/>
  <c r="Y140" i="2" s="1"/>
  <c r="AP137" i="3"/>
  <c r="AK137" i="3"/>
  <c r="Z137" i="3"/>
  <c r="BE136" i="3"/>
  <c r="Y139" i="2" s="1"/>
  <c r="BB136" i="3"/>
  <c r="AP136" i="3"/>
  <c r="AL136" i="3"/>
  <c r="AK136" i="3"/>
  <c r="X139" i="2" s="1"/>
  <c r="Z136" i="3"/>
  <c r="BE135" i="3"/>
  <c r="Y138" i="2" s="1"/>
  <c r="BB135" i="3"/>
  <c r="AP135" i="3"/>
  <c r="AK135" i="3"/>
  <c r="X138" i="2" s="1"/>
  <c r="Z135" i="3"/>
  <c r="BE134" i="3"/>
  <c r="Y137" i="2" s="1"/>
  <c r="AP134" i="3"/>
  <c r="AL134" i="3"/>
  <c r="AK134" i="3"/>
  <c r="X137" i="2" s="1"/>
  <c r="Z134" i="3"/>
  <c r="BE133" i="3"/>
  <c r="Y136" i="2" s="1"/>
  <c r="AP133" i="3"/>
  <c r="AL133" i="3"/>
  <c r="AK133" i="3"/>
  <c r="X136" i="2" s="1"/>
  <c r="Z133" i="3"/>
  <c r="BE132" i="3"/>
  <c r="Y135" i="2" s="1"/>
  <c r="AP132" i="3"/>
  <c r="AK132" i="3"/>
  <c r="X135" i="2" s="1"/>
  <c r="Z132" i="3"/>
  <c r="BE131" i="3"/>
  <c r="Y134" i="2" s="1"/>
  <c r="AP131" i="3"/>
  <c r="AK131" i="3"/>
  <c r="X134" i="2" s="1"/>
  <c r="Z131" i="3"/>
  <c r="AP130" i="3"/>
  <c r="AK130" i="3"/>
  <c r="X133" i="2" s="1"/>
  <c r="Z130" i="3"/>
  <c r="BE129" i="3"/>
  <c r="Y132" i="2" s="1"/>
  <c r="AP129" i="3"/>
  <c r="AK129" i="3"/>
  <c r="X132" i="2" s="1"/>
  <c r="Z129" i="3"/>
  <c r="BE128" i="3"/>
  <c r="Y131" i="2" s="1"/>
  <c r="AP128" i="3"/>
  <c r="AK128" i="3"/>
  <c r="X131" i="2" s="1"/>
  <c r="Z128" i="3"/>
  <c r="BE127" i="3"/>
  <c r="Y130" i="2" s="1"/>
  <c r="AP127" i="3"/>
  <c r="AK127" i="3"/>
  <c r="Z127" i="3"/>
  <c r="AP126" i="3"/>
  <c r="AK126" i="3"/>
  <c r="X129" i="2" s="1"/>
  <c r="Z126" i="3"/>
  <c r="BE125" i="3"/>
  <c r="Y128" i="2" s="1"/>
  <c r="AP125" i="3"/>
  <c r="AK125" i="3"/>
  <c r="X128" i="2" s="1"/>
  <c r="Z125" i="3"/>
  <c r="BE124" i="3"/>
  <c r="Y127" i="2" s="1"/>
  <c r="AP124" i="3"/>
  <c r="AK124" i="3"/>
  <c r="X127" i="2" s="1"/>
  <c r="Z124" i="3"/>
  <c r="BE123" i="3"/>
  <c r="Y126" i="2" s="1"/>
  <c r="AP123" i="3"/>
  <c r="AK123" i="3"/>
  <c r="X126" i="2" s="1"/>
  <c r="Z123" i="3"/>
  <c r="AP122" i="3"/>
  <c r="AK122" i="3"/>
  <c r="X125" i="2" s="1"/>
  <c r="Z122" i="3"/>
  <c r="AP121" i="3"/>
  <c r="AK121" i="3"/>
  <c r="X124" i="2" s="1"/>
  <c r="Z121" i="3"/>
  <c r="BE120" i="3"/>
  <c r="Y123" i="2" s="1"/>
  <c r="AP120" i="3"/>
  <c r="AK120" i="3"/>
  <c r="X123" i="2" s="1"/>
  <c r="Z120" i="3"/>
  <c r="BE119" i="3"/>
  <c r="Y122" i="2" s="1"/>
  <c r="BB119" i="3"/>
  <c r="AP119" i="3"/>
  <c r="AK119" i="3"/>
  <c r="X122" i="2" s="1"/>
  <c r="Z119" i="3"/>
  <c r="BE118" i="3"/>
  <c r="Y121" i="2" s="1"/>
  <c r="AP118" i="3"/>
  <c r="AK118" i="3"/>
  <c r="X121" i="2" s="1"/>
  <c r="Z118" i="3"/>
  <c r="BE117" i="3"/>
  <c r="Y120" i="2" s="1"/>
  <c r="AP117" i="3"/>
  <c r="AK117" i="3"/>
  <c r="X120" i="2" s="1"/>
  <c r="Z117" i="3"/>
  <c r="BE116" i="3"/>
  <c r="Y119" i="2" s="1"/>
  <c r="AP116" i="3"/>
  <c r="AL116" i="3"/>
  <c r="AK116" i="3"/>
  <c r="X119" i="2" s="1"/>
  <c r="Z116" i="3"/>
  <c r="BB115" i="3"/>
  <c r="AP115" i="3"/>
  <c r="AK115" i="3"/>
  <c r="X118" i="2" s="1"/>
  <c r="Z115" i="3"/>
  <c r="AP114" i="3"/>
  <c r="AL114" i="3"/>
  <c r="AK114" i="3"/>
  <c r="X117" i="2" s="1"/>
  <c r="Z114" i="3"/>
  <c r="AP113" i="3"/>
  <c r="AK113" i="3"/>
  <c r="Z113" i="3"/>
  <c r="AP112" i="3"/>
  <c r="AK112" i="3"/>
  <c r="Z112" i="3"/>
  <c r="AP111" i="3"/>
  <c r="AL111" i="3"/>
  <c r="AK111" i="3"/>
  <c r="X114" i="2" s="1"/>
  <c r="Z111" i="3"/>
  <c r="AP110" i="3"/>
  <c r="AK110" i="3"/>
  <c r="Z110" i="3"/>
  <c r="BE109" i="3"/>
  <c r="Y112" i="2" s="1"/>
  <c r="AP109" i="3"/>
  <c r="AK109" i="3"/>
  <c r="Z109" i="3"/>
  <c r="AP108" i="3"/>
  <c r="AK108" i="3"/>
  <c r="X111" i="2" s="1"/>
  <c r="Z108" i="3"/>
  <c r="BE107" i="3"/>
  <c r="Y110" i="2" s="1"/>
  <c r="AP107" i="3"/>
  <c r="AK107" i="3"/>
  <c r="X110" i="2" s="1"/>
  <c r="Z107" i="3"/>
  <c r="BE106" i="3"/>
  <c r="Y109" i="2" s="1"/>
  <c r="AP106" i="3"/>
  <c r="AK106" i="3"/>
  <c r="X109" i="2" s="1"/>
  <c r="Z106" i="3"/>
  <c r="BE105" i="3"/>
  <c r="Y108" i="2" s="1"/>
  <c r="AP105" i="3"/>
  <c r="AK105" i="3"/>
  <c r="X108" i="2" s="1"/>
  <c r="Z105" i="3"/>
  <c r="BE104" i="3"/>
  <c r="Y107" i="2" s="1"/>
  <c r="BB104" i="3"/>
  <c r="AP104" i="3"/>
  <c r="AL104" i="3"/>
  <c r="AK104" i="3"/>
  <c r="X107" i="2" s="1"/>
  <c r="Z104" i="3"/>
  <c r="AP103" i="3"/>
  <c r="AK103" i="3"/>
  <c r="X106" i="2" s="1"/>
  <c r="Z103" i="3"/>
  <c r="AP102" i="3"/>
  <c r="AK102" i="3"/>
  <c r="X105" i="2" s="1"/>
  <c r="Z102" i="3"/>
  <c r="AP101" i="3"/>
  <c r="AK101" i="3"/>
  <c r="X104" i="2" s="1"/>
  <c r="Z101" i="3"/>
  <c r="AP100" i="3"/>
  <c r="AK100" i="3"/>
  <c r="X103" i="2" s="1"/>
  <c r="Z100" i="3"/>
  <c r="AP99" i="3"/>
  <c r="AK99" i="3"/>
  <c r="X102" i="2" s="1"/>
  <c r="Z99" i="3"/>
  <c r="AP98" i="3"/>
  <c r="AK98" i="3"/>
  <c r="X101" i="2" s="1"/>
  <c r="Z98" i="3"/>
  <c r="AP97" i="3"/>
  <c r="AK97" i="3"/>
  <c r="X100" i="2" s="1"/>
  <c r="Z97" i="3"/>
  <c r="BE96" i="3"/>
  <c r="Y99" i="2" s="1"/>
  <c r="AP96" i="3"/>
  <c r="AK96" i="3"/>
  <c r="X99" i="2" s="1"/>
  <c r="Z96" i="3"/>
  <c r="BE95" i="3"/>
  <c r="Y98" i="2" s="1"/>
  <c r="AP95" i="3"/>
  <c r="AK95" i="3"/>
  <c r="X98" i="2" s="1"/>
  <c r="Z95" i="3"/>
  <c r="BE94" i="3"/>
  <c r="Y97" i="2" s="1"/>
  <c r="AP94" i="3"/>
  <c r="AK94" i="3"/>
  <c r="X97" i="2" s="1"/>
  <c r="Z94" i="3"/>
  <c r="BE93" i="3"/>
  <c r="Y96" i="2" s="1"/>
  <c r="AP93" i="3"/>
  <c r="AK93" i="3"/>
  <c r="X96" i="2" s="1"/>
  <c r="Z93" i="3"/>
  <c r="AP92" i="3"/>
  <c r="AK92" i="3"/>
  <c r="X95" i="2" s="1"/>
  <c r="Z92" i="3"/>
  <c r="BE91" i="3"/>
  <c r="Y94" i="2" s="1"/>
  <c r="AP91" i="3"/>
  <c r="AK91" i="3"/>
  <c r="X94" i="2" s="1"/>
  <c r="Z91" i="3"/>
  <c r="BE90" i="3"/>
  <c r="Y93" i="2" s="1"/>
  <c r="AP90" i="3"/>
  <c r="AL90" i="3"/>
  <c r="AK90" i="3"/>
  <c r="Z90" i="3"/>
  <c r="BE89" i="3"/>
  <c r="Y92" i="2" s="1"/>
  <c r="AP89" i="3"/>
  <c r="AK89" i="3"/>
  <c r="X92" i="2" s="1"/>
  <c r="Z89" i="3"/>
  <c r="BE88" i="3"/>
  <c r="Y91" i="2" s="1"/>
  <c r="BB88" i="3"/>
  <c r="AP88" i="3"/>
  <c r="AK88" i="3"/>
  <c r="X91" i="2" s="1"/>
  <c r="Z88" i="3"/>
  <c r="BE87" i="3"/>
  <c r="Y90" i="2" s="1"/>
  <c r="AP87" i="3"/>
  <c r="AK87" i="3"/>
  <c r="X90" i="2" s="1"/>
  <c r="Z87" i="3"/>
  <c r="BE86" i="3"/>
  <c r="Y89" i="2" s="1"/>
  <c r="BB86" i="3"/>
  <c r="AP86" i="3"/>
  <c r="AK86" i="3"/>
  <c r="X89" i="2" s="1"/>
  <c r="Z86" i="3"/>
  <c r="BE85" i="3"/>
  <c r="Y88" i="2" s="1"/>
  <c r="AP85" i="3"/>
  <c r="AK85" i="3"/>
  <c r="Z85" i="3"/>
  <c r="BE84" i="3"/>
  <c r="Y87" i="2" s="1"/>
  <c r="AP84" i="3"/>
  <c r="AK84" i="3"/>
  <c r="X87" i="2" s="1"/>
  <c r="Z84" i="3"/>
  <c r="BE83" i="3"/>
  <c r="Y86" i="2" s="1"/>
  <c r="AP83" i="3"/>
  <c r="AK83" i="3"/>
  <c r="X86" i="2" s="1"/>
  <c r="Z83" i="3"/>
  <c r="BE82" i="3"/>
  <c r="Y85" i="2" s="1"/>
  <c r="AP82" i="3"/>
  <c r="AK82" i="3"/>
  <c r="X85" i="2" s="1"/>
  <c r="Z82" i="3"/>
  <c r="BE81" i="3"/>
  <c r="Y84" i="2" s="1"/>
  <c r="AP81" i="3"/>
  <c r="AK81" i="3"/>
  <c r="Z81" i="3"/>
  <c r="BE80" i="3"/>
  <c r="Y83" i="2" s="1"/>
  <c r="AP80" i="3"/>
  <c r="AK80" i="3"/>
  <c r="X83" i="2" s="1"/>
  <c r="Z80" i="3"/>
  <c r="BE79" i="3"/>
  <c r="Y82" i="2" s="1"/>
  <c r="AP79" i="3"/>
  <c r="AK79" i="3"/>
  <c r="X82" i="2" s="1"/>
  <c r="Z79" i="3"/>
  <c r="BE78" i="3"/>
  <c r="Y81" i="2" s="1"/>
  <c r="AP78" i="3"/>
  <c r="AL78" i="3"/>
  <c r="AK78" i="3"/>
  <c r="X81" i="2" s="1"/>
  <c r="Z78" i="3"/>
  <c r="BE77" i="3"/>
  <c r="Y80" i="2" s="1"/>
  <c r="AP77" i="3"/>
  <c r="AK77" i="3"/>
  <c r="X80" i="2" s="1"/>
  <c r="Z77" i="3"/>
  <c r="BE76" i="3"/>
  <c r="Y79" i="2" s="1"/>
  <c r="AP76" i="3"/>
  <c r="AK76" i="3"/>
  <c r="Z76" i="3"/>
  <c r="BE75" i="3"/>
  <c r="Y78" i="2" s="1"/>
  <c r="AP75" i="3"/>
  <c r="AK75" i="3"/>
  <c r="X78" i="2" s="1"/>
  <c r="Z75" i="3"/>
  <c r="BE74" i="3"/>
  <c r="Y77" i="2" s="1"/>
  <c r="AP74" i="3"/>
  <c r="AL74" i="3"/>
  <c r="AK74" i="3"/>
  <c r="X77" i="2" s="1"/>
  <c r="Z74" i="3"/>
  <c r="AP73" i="3"/>
  <c r="AK73" i="3"/>
  <c r="X76" i="2" s="1"/>
  <c r="Z73" i="3"/>
  <c r="BE72" i="3"/>
  <c r="Y75" i="2" s="1"/>
  <c r="AP72" i="3"/>
  <c r="AK72" i="3"/>
  <c r="Z72" i="3"/>
  <c r="BE71" i="3"/>
  <c r="Y74" i="2" s="1"/>
  <c r="AP71" i="3"/>
  <c r="AK71" i="3"/>
  <c r="X74" i="2" s="1"/>
  <c r="Z71" i="3"/>
  <c r="BE70" i="3"/>
  <c r="Y73" i="2" s="1"/>
  <c r="AP70" i="3"/>
  <c r="AK70" i="3"/>
  <c r="X73" i="2" s="1"/>
  <c r="Z70" i="3"/>
  <c r="AP69" i="3"/>
  <c r="AK69" i="3"/>
  <c r="X72" i="2" s="1"/>
  <c r="Z69" i="3"/>
  <c r="BE68" i="3"/>
  <c r="Y71" i="2" s="1"/>
  <c r="AP68" i="3"/>
  <c r="AK68" i="3"/>
  <c r="X71" i="2" s="1"/>
  <c r="Z68" i="3"/>
  <c r="AP67" i="3"/>
  <c r="AK67" i="3"/>
  <c r="X70" i="2" s="1"/>
  <c r="Z67" i="3"/>
  <c r="AP66" i="3"/>
  <c r="AK66" i="3"/>
  <c r="X69" i="2" s="1"/>
  <c r="Z66" i="3"/>
  <c r="BE65" i="3"/>
  <c r="Y68" i="2" s="1"/>
  <c r="AP65" i="3"/>
  <c r="AK65" i="3"/>
  <c r="X68" i="2" s="1"/>
  <c r="Z65" i="3"/>
  <c r="BE64" i="3"/>
  <c r="Y67" i="2" s="1"/>
  <c r="AP64" i="3"/>
  <c r="AK64" i="3"/>
  <c r="X67" i="2" s="1"/>
  <c r="Z64" i="3"/>
  <c r="BE63" i="3"/>
  <c r="Y66" i="2" s="1"/>
  <c r="AP63" i="3"/>
  <c r="AK63" i="3"/>
  <c r="X66" i="2" s="1"/>
  <c r="Z63" i="3"/>
  <c r="BE62" i="3"/>
  <c r="Y65" i="2" s="1"/>
  <c r="AP62" i="3"/>
  <c r="AK62" i="3"/>
  <c r="X65" i="2" s="1"/>
  <c r="Z62" i="3"/>
  <c r="BE61" i="3"/>
  <c r="Y64" i="2" s="1"/>
  <c r="AP61" i="3"/>
  <c r="AK61" i="3"/>
  <c r="X64" i="2" s="1"/>
  <c r="Z61" i="3"/>
  <c r="BE60" i="3"/>
  <c r="Y63" i="2" s="1"/>
  <c r="AP60" i="3"/>
  <c r="AK60" i="3"/>
  <c r="X63" i="2" s="1"/>
  <c r="Z60" i="3"/>
  <c r="BE59" i="3"/>
  <c r="Y62" i="2" s="1"/>
  <c r="AP59" i="3"/>
  <c r="AK59" i="3"/>
  <c r="X62" i="2" s="1"/>
  <c r="Z59" i="3"/>
  <c r="BE58" i="3"/>
  <c r="Y61" i="2" s="1"/>
  <c r="AP58" i="3"/>
  <c r="AK58" i="3"/>
  <c r="X61" i="2" s="1"/>
  <c r="Z58" i="3"/>
  <c r="BE57" i="3"/>
  <c r="Y60" i="2" s="1"/>
  <c r="AP57" i="3"/>
  <c r="AK57" i="3"/>
  <c r="X60" i="2" s="1"/>
  <c r="Z57" i="3"/>
  <c r="BE56" i="3"/>
  <c r="Y59" i="2" s="1"/>
  <c r="BB56" i="3"/>
  <c r="AP56" i="3"/>
  <c r="AK56" i="3"/>
  <c r="X59" i="2" s="1"/>
  <c r="Z56" i="3"/>
  <c r="BE55" i="3"/>
  <c r="Y58" i="2" s="1"/>
  <c r="AP55" i="3"/>
  <c r="AK55" i="3"/>
  <c r="X58" i="2" s="1"/>
  <c r="Z55" i="3"/>
  <c r="BE54" i="3"/>
  <c r="Y57" i="2" s="1"/>
  <c r="BB54" i="3"/>
  <c r="AP54" i="3"/>
  <c r="AK54" i="3"/>
  <c r="X57" i="2" s="1"/>
  <c r="Z54" i="3"/>
  <c r="BE53" i="3"/>
  <c r="Y56" i="2" s="1"/>
  <c r="AP53" i="3"/>
  <c r="AK53" i="3"/>
  <c r="X56" i="2" s="1"/>
  <c r="Z53" i="3"/>
  <c r="BE52" i="3"/>
  <c r="Y55" i="2" s="1"/>
  <c r="AP52" i="3"/>
  <c r="AK52" i="3"/>
  <c r="X55" i="2" s="1"/>
  <c r="Z52" i="3"/>
  <c r="BE51" i="3"/>
  <c r="Y54" i="2" s="1"/>
  <c r="BB51" i="3"/>
  <c r="AP51" i="3"/>
  <c r="AK51" i="3"/>
  <c r="X54" i="2" s="1"/>
  <c r="Z51" i="3"/>
  <c r="BE50" i="3"/>
  <c r="Y53" i="2" s="1"/>
  <c r="BB50" i="3"/>
  <c r="AP50" i="3"/>
  <c r="AK50" i="3"/>
  <c r="X53" i="2" s="1"/>
  <c r="Z50" i="3"/>
  <c r="BE49" i="3"/>
  <c r="Y52" i="2" s="1"/>
  <c r="AP49" i="3"/>
  <c r="AK49" i="3"/>
  <c r="X52" i="2" s="1"/>
  <c r="Z49" i="3"/>
  <c r="BE48" i="3"/>
  <c r="Y51" i="2" s="1"/>
  <c r="AP48" i="3"/>
  <c r="AK48" i="3"/>
  <c r="X51" i="2" s="1"/>
  <c r="Z48" i="3"/>
  <c r="AP47" i="3"/>
  <c r="AK47" i="3"/>
  <c r="X50" i="2" s="1"/>
  <c r="Z47" i="3"/>
  <c r="BE46" i="3"/>
  <c r="Y49" i="2" s="1"/>
  <c r="BB46" i="3"/>
  <c r="AP46" i="3"/>
  <c r="AK46" i="3"/>
  <c r="X49" i="2" s="1"/>
  <c r="Z46" i="3"/>
  <c r="BE45" i="3"/>
  <c r="Y48" i="2" s="1"/>
  <c r="AP45" i="3"/>
  <c r="AL45" i="3"/>
  <c r="AK45" i="3"/>
  <c r="Z45" i="3"/>
  <c r="AP44" i="3"/>
  <c r="AK44" i="3"/>
  <c r="X47" i="2" s="1"/>
  <c r="Z44" i="3"/>
  <c r="BE43" i="3"/>
  <c r="Y46" i="2" s="1"/>
  <c r="BB43" i="3"/>
  <c r="AP43" i="3"/>
  <c r="AK43" i="3"/>
  <c r="X46" i="2" s="1"/>
  <c r="Z43" i="3"/>
  <c r="AP42" i="3"/>
  <c r="AK42" i="3"/>
  <c r="X45" i="2" s="1"/>
  <c r="Z42" i="3"/>
  <c r="BE41" i="3"/>
  <c r="Y44" i="2" s="1"/>
  <c r="AP41" i="3"/>
  <c r="AK41" i="3"/>
  <c r="X44" i="2" s="1"/>
  <c r="Z41" i="3"/>
  <c r="BE40" i="3"/>
  <c r="Y43" i="2" s="1"/>
  <c r="AP40" i="3"/>
  <c r="AK40" i="3"/>
  <c r="X43" i="2" s="1"/>
  <c r="Z40" i="3"/>
  <c r="BE39" i="3"/>
  <c r="Y42" i="2" s="1"/>
  <c r="AP39" i="3"/>
  <c r="AK39" i="3"/>
  <c r="X42" i="2" s="1"/>
  <c r="Z39" i="3"/>
  <c r="AP38" i="3"/>
  <c r="AK38" i="3"/>
  <c r="X41" i="2" s="1"/>
  <c r="Z38" i="3"/>
  <c r="AP37" i="3"/>
  <c r="AK37" i="3"/>
  <c r="X40" i="2" s="1"/>
  <c r="Z37" i="3"/>
  <c r="AP36" i="3"/>
  <c r="AL36" i="3"/>
  <c r="AK36" i="3"/>
  <c r="X39" i="2" s="1"/>
  <c r="Z36" i="3"/>
  <c r="AP35" i="3"/>
  <c r="AK35" i="3"/>
  <c r="X38" i="2" s="1"/>
  <c r="Z35" i="3"/>
  <c r="AP34" i="3"/>
  <c r="AK34" i="3"/>
  <c r="X37" i="2" s="1"/>
  <c r="Z34" i="3"/>
  <c r="AP33" i="3"/>
  <c r="AK33" i="3"/>
  <c r="X36" i="2" s="1"/>
  <c r="Z33" i="3"/>
  <c r="BE32" i="3"/>
  <c r="Y35" i="2" s="1"/>
  <c r="AP32" i="3"/>
  <c r="AK32" i="3"/>
  <c r="X35" i="2" s="1"/>
  <c r="Z32" i="3"/>
  <c r="BE31" i="3"/>
  <c r="Y34" i="2" s="1"/>
  <c r="AP31" i="3"/>
  <c r="AK31" i="3"/>
  <c r="X34" i="2" s="1"/>
  <c r="Z31" i="3"/>
  <c r="BE30" i="3"/>
  <c r="Y33" i="2" s="1"/>
  <c r="AP30" i="3"/>
  <c r="AK30" i="3"/>
  <c r="X33" i="2" s="1"/>
  <c r="Z30" i="3"/>
  <c r="BE29" i="3"/>
  <c r="Y32" i="2" s="1"/>
  <c r="BB29" i="3"/>
  <c r="AP29" i="3"/>
  <c r="AK29" i="3"/>
  <c r="X32" i="2" s="1"/>
  <c r="Z29" i="3"/>
  <c r="AP28" i="3"/>
  <c r="AK28" i="3"/>
  <c r="X31" i="2" s="1"/>
  <c r="Z28" i="3"/>
  <c r="AP27" i="3"/>
  <c r="AK27" i="3"/>
  <c r="X30" i="2" s="1"/>
  <c r="Z27" i="3"/>
  <c r="BE26" i="3"/>
  <c r="Y29" i="2" s="1"/>
  <c r="AP26" i="3"/>
  <c r="AK26" i="3"/>
  <c r="Z26" i="3"/>
  <c r="AP25" i="3"/>
  <c r="AK25" i="3"/>
  <c r="X28" i="2" s="1"/>
  <c r="Z25" i="3"/>
  <c r="BE24" i="3"/>
  <c r="Y27" i="2" s="1"/>
  <c r="BB24" i="3"/>
  <c r="AP24" i="3"/>
  <c r="AK24" i="3"/>
  <c r="X27" i="2" s="1"/>
  <c r="Z24" i="3"/>
  <c r="BE23" i="3"/>
  <c r="Y26" i="2" s="1"/>
  <c r="AP23" i="3"/>
  <c r="AK23" i="3"/>
  <c r="X26" i="2" s="1"/>
  <c r="Z23" i="3"/>
  <c r="BE22" i="3"/>
  <c r="Y25" i="2" s="1"/>
  <c r="AP22" i="3"/>
  <c r="AK22" i="3"/>
  <c r="X25" i="2" s="1"/>
  <c r="Z22" i="3"/>
  <c r="BE21" i="3"/>
  <c r="Y24" i="2" s="1"/>
  <c r="AP21" i="3"/>
  <c r="AK21" i="3"/>
  <c r="X24" i="2" s="1"/>
  <c r="Z21" i="3"/>
  <c r="BE20" i="3"/>
  <c r="Y23" i="2" s="1"/>
  <c r="AP20" i="3"/>
  <c r="AK20" i="3"/>
  <c r="X23" i="2" s="1"/>
  <c r="Z20" i="3"/>
  <c r="BE19" i="3"/>
  <c r="Y22" i="2" s="1"/>
  <c r="AP19" i="3"/>
  <c r="AK19" i="3"/>
  <c r="X22" i="2" s="1"/>
  <c r="Z19" i="3"/>
  <c r="BE18" i="3"/>
  <c r="Y21" i="2" s="1"/>
  <c r="AP18" i="3"/>
  <c r="AK18" i="3"/>
  <c r="X21" i="2" s="1"/>
  <c r="Z18" i="3"/>
  <c r="BE17" i="3"/>
  <c r="Y20" i="2" s="1"/>
  <c r="AP17" i="3"/>
  <c r="AK17" i="3"/>
  <c r="X20" i="2" s="1"/>
  <c r="Z17" i="3"/>
  <c r="AP16" i="3"/>
  <c r="AK16" i="3"/>
  <c r="X19" i="2" s="1"/>
  <c r="Z16" i="3"/>
  <c r="BE15" i="3"/>
  <c r="Y18" i="2" s="1"/>
  <c r="AP15" i="3"/>
  <c r="AK15" i="3"/>
  <c r="X18" i="2" s="1"/>
  <c r="Z15" i="3"/>
  <c r="BE14" i="3"/>
  <c r="Y17" i="2" s="1"/>
  <c r="AP14" i="3"/>
  <c r="AK14" i="3"/>
  <c r="Z14" i="3"/>
  <c r="BE13" i="3"/>
  <c r="Y16" i="2" s="1"/>
  <c r="AP13" i="3"/>
  <c r="AK13" i="3"/>
  <c r="X16" i="2" s="1"/>
  <c r="Z13" i="3"/>
  <c r="BE12" i="3"/>
  <c r="Y15" i="2" s="1"/>
  <c r="AP12" i="3"/>
  <c r="AK12" i="3"/>
  <c r="X15" i="2" s="1"/>
  <c r="Z12" i="3"/>
  <c r="BE10" i="3"/>
  <c r="Y13" i="2" s="1"/>
  <c r="AP10" i="3"/>
  <c r="AK10" i="3"/>
  <c r="X13" i="2" s="1"/>
  <c r="Z10" i="3"/>
  <c r="BE9" i="3"/>
  <c r="Y12" i="2" s="1"/>
  <c r="AP9" i="3"/>
  <c r="AL9" i="3"/>
  <c r="AK9" i="3"/>
  <c r="X12" i="2" s="1"/>
  <c r="Z9" i="3"/>
  <c r="AP8" i="3"/>
  <c r="AK8" i="3"/>
  <c r="X11" i="2" s="1"/>
  <c r="Z8" i="3"/>
  <c r="AP7" i="3"/>
  <c r="AK7" i="3"/>
  <c r="Z7" i="3"/>
  <c r="BE6" i="3"/>
  <c r="Y9" i="2" s="1"/>
  <c r="AP6" i="3"/>
  <c r="AK6" i="3"/>
  <c r="X9" i="2" s="1"/>
  <c r="Z6" i="3"/>
  <c r="AP5" i="3"/>
  <c r="AK5" i="3"/>
  <c r="X8" i="2" s="1"/>
  <c r="Z5" i="3"/>
  <c r="BE4" i="3"/>
  <c r="Y7" i="2" s="1"/>
  <c r="AP4" i="3"/>
  <c r="AK4" i="3"/>
  <c r="X7" i="2" s="1"/>
  <c r="AS1" i="3"/>
  <c r="AR1" i="3"/>
  <c r="AO1" i="3"/>
  <c r="AN1" i="3"/>
  <c r="AM1" i="3"/>
  <c r="AL1" i="3"/>
  <c r="AA1" i="3"/>
  <c r="Y1" i="3"/>
  <c r="X1" i="3"/>
  <c r="W1" i="3"/>
  <c r="V1" i="3"/>
  <c r="T1" i="3"/>
  <c r="Q1" i="3"/>
  <c r="P1" i="3"/>
  <c r="AQ25" i="3" l="1"/>
  <c r="AQ90" i="3"/>
  <c r="X93" i="2"/>
  <c r="AQ112" i="3"/>
  <c r="X115" i="2"/>
  <c r="AQ166" i="3"/>
  <c r="X169" i="2"/>
  <c r="Y5" i="2"/>
  <c r="AQ14" i="3"/>
  <c r="X17" i="2"/>
  <c r="AQ26" i="3"/>
  <c r="X29" i="2"/>
  <c r="AQ182" i="3"/>
  <c r="X185" i="2"/>
  <c r="AQ72" i="3"/>
  <c r="X75" i="2"/>
  <c r="AQ76" i="3"/>
  <c r="X79" i="2"/>
  <c r="AQ187" i="3"/>
  <c r="X190" i="2"/>
  <c r="AQ196" i="3"/>
  <c r="X199" i="2"/>
  <c r="AQ201" i="3"/>
  <c r="X204" i="2"/>
  <c r="AQ109" i="3"/>
  <c r="X112" i="2"/>
  <c r="AQ137" i="3"/>
  <c r="X140" i="2"/>
  <c r="AQ141" i="3"/>
  <c r="X144" i="2"/>
  <c r="AQ145" i="3"/>
  <c r="X148" i="2"/>
  <c r="AQ113" i="3"/>
  <c r="X116" i="2"/>
  <c r="AQ45" i="3"/>
  <c r="X48" i="2"/>
  <c r="AQ81" i="3"/>
  <c r="X84" i="2"/>
  <c r="AQ85" i="3"/>
  <c r="X88" i="2"/>
  <c r="AQ110" i="3"/>
  <c r="X113" i="2"/>
  <c r="AQ127" i="3"/>
  <c r="X130" i="2"/>
  <c r="AQ150" i="3"/>
  <c r="X153" i="2"/>
  <c r="AQ7" i="3"/>
  <c r="X10" i="2"/>
  <c r="AQ6" i="4"/>
  <c r="AQ4" i="4" s="1"/>
  <c r="Z17" i="2"/>
  <c r="Z5" i="2" s="1"/>
  <c r="AQ22" i="3"/>
  <c r="AQ71" i="3"/>
  <c r="AQ161" i="3"/>
  <c r="AQ10" i="3"/>
  <c r="AQ185" i="3"/>
  <c r="AQ128" i="3"/>
  <c r="AQ147" i="3"/>
  <c r="AQ151" i="3"/>
  <c r="AQ175" i="3"/>
  <c r="AQ39" i="3"/>
  <c r="AQ58" i="3"/>
  <c r="AQ62" i="3"/>
  <c r="AQ66" i="3"/>
  <c r="AQ98" i="3"/>
  <c r="AQ107" i="3"/>
  <c r="AQ143" i="3"/>
  <c r="AQ156" i="3"/>
  <c r="AQ40" i="3"/>
  <c r="AQ44" i="3"/>
  <c r="AQ48" i="3"/>
  <c r="AQ59" i="3"/>
  <c r="AQ63" i="3"/>
  <c r="AQ186" i="3"/>
  <c r="AQ195" i="3"/>
  <c r="AQ41" i="3"/>
  <c r="AQ49" i="3"/>
  <c r="AQ60" i="3"/>
  <c r="AQ64" i="3"/>
  <c r="AQ126" i="3"/>
  <c r="AQ163" i="3"/>
  <c r="AQ178" i="3"/>
  <c r="AQ73" i="3"/>
  <c r="AQ12" i="3"/>
  <c r="AQ184" i="3"/>
  <c r="AQ17" i="3"/>
  <c r="AQ119" i="3"/>
  <c r="AQ155" i="3"/>
  <c r="AQ198" i="3"/>
  <c r="AQ203" i="3"/>
  <c r="AQ16" i="3"/>
  <c r="AQ92" i="3"/>
  <c r="AQ131" i="3"/>
  <c r="AQ159" i="3"/>
  <c r="AQ102" i="3"/>
  <c r="AQ135" i="3"/>
  <c r="AQ164" i="3"/>
  <c r="AQ174" i="3"/>
  <c r="AQ8" i="3"/>
  <c r="AQ13" i="3"/>
  <c r="AQ54" i="3"/>
  <c r="AQ111" i="3"/>
  <c r="AQ132" i="3"/>
  <c r="AQ160" i="3"/>
  <c r="AQ180" i="3"/>
  <c r="AQ133" i="3"/>
  <c r="AQ67" i="3"/>
  <c r="AQ79" i="3"/>
  <c r="AQ83" i="3"/>
  <c r="AQ140" i="3"/>
  <c r="AQ157" i="3"/>
  <c r="AQ15" i="3"/>
  <c r="AQ36" i="3"/>
  <c r="AQ100" i="3"/>
  <c r="AQ121" i="3"/>
  <c r="AQ167" i="3"/>
  <c r="AQ20" i="3"/>
  <c r="AQ24" i="3"/>
  <c r="AQ96" i="3"/>
  <c r="AQ101" i="3"/>
  <c r="AQ118" i="3"/>
  <c r="AQ122" i="3"/>
  <c r="AQ74" i="3"/>
  <c r="AQ9" i="3"/>
  <c r="AQ89" i="3"/>
  <c r="AQ93" i="3"/>
  <c r="AQ97" i="3"/>
  <c r="AQ115" i="3"/>
  <c r="AQ123" i="3"/>
  <c r="AQ154" i="3"/>
  <c r="AQ183" i="3"/>
  <c r="AQ192" i="3"/>
  <c r="AQ30" i="3"/>
  <c r="AQ34" i="3"/>
  <c r="AQ47" i="3"/>
  <c r="AQ51" i="3"/>
  <c r="AQ82" i="3"/>
  <c r="AQ86" i="3"/>
  <c r="AQ103" i="3"/>
  <c r="AQ179" i="3"/>
  <c r="AQ188" i="3"/>
  <c r="AQ202" i="3"/>
  <c r="AQ35" i="3"/>
  <c r="AQ55" i="3"/>
  <c r="AQ94" i="3"/>
  <c r="AQ169" i="3"/>
  <c r="AQ193" i="3"/>
  <c r="AQ99" i="3"/>
  <c r="AQ165" i="3"/>
  <c r="AP1" i="3"/>
  <c r="AQ170" i="3"/>
  <c r="AQ27" i="3"/>
  <c r="AQ56" i="3"/>
  <c r="AQ68" i="3"/>
  <c r="AQ95" i="3"/>
  <c r="AQ125" i="3"/>
  <c r="AQ117" i="3"/>
  <c r="AQ144" i="3"/>
  <c r="AQ148" i="3"/>
  <c r="AQ152" i="3"/>
  <c r="AQ37" i="3"/>
  <c r="AQ88" i="3"/>
  <c r="AQ105" i="3"/>
  <c r="AQ130" i="3"/>
  <c r="AQ200" i="3"/>
  <c r="AQ6" i="3"/>
  <c r="AQ65" i="3"/>
  <c r="AQ80" i="3"/>
  <c r="AQ84" i="3"/>
  <c r="AQ108" i="3"/>
  <c r="AQ120" i="3"/>
  <c r="AQ146" i="3"/>
  <c r="AQ190" i="3"/>
  <c r="AQ199" i="3"/>
  <c r="AQ19" i="3"/>
  <c r="AQ43" i="3"/>
  <c r="AQ70" i="3"/>
  <c r="AQ77" i="3"/>
  <c r="AQ129" i="3"/>
  <c r="AQ139" i="3"/>
  <c r="AQ172" i="3"/>
  <c r="AQ177" i="3"/>
  <c r="AQ23" i="3"/>
  <c r="AQ31" i="3"/>
  <c r="AQ136" i="3"/>
  <c r="AQ168" i="3"/>
  <c r="AQ173" i="3"/>
  <c r="AQ191" i="3"/>
  <c r="AQ78" i="3"/>
  <c r="AQ114" i="3"/>
  <c r="AQ4" i="3"/>
  <c r="AQ106" i="3"/>
  <c r="AQ28" i="3"/>
  <c r="AQ32" i="3"/>
  <c r="AQ52" i="3"/>
  <c r="AQ75" i="3"/>
  <c r="AQ134" i="3"/>
  <c r="AQ197" i="3"/>
  <c r="AQ21" i="3"/>
  <c r="AQ29" i="3"/>
  <c r="AQ5" i="3"/>
  <c r="AQ33" i="3"/>
  <c r="AQ53" i="3"/>
  <c r="AQ87" i="3"/>
  <c r="AQ149" i="3"/>
  <c r="AQ189" i="3"/>
  <c r="BE1" i="3"/>
  <c r="AQ18" i="3"/>
  <c r="AQ38" i="3"/>
  <c r="AQ116" i="3"/>
  <c r="AQ138" i="3"/>
  <c r="AQ153" i="3"/>
  <c r="AQ158" i="3"/>
  <c r="AQ42" i="3"/>
  <c r="AQ46" i="3"/>
  <c r="AQ50" i="3"/>
  <c r="AQ57" i="3"/>
  <c r="AQ61" i="3"/>
  <c r="AQ69" i="3"/>
  <c r="AQ91" i="3"/>
  <c r="AQ104" i="3"/>
  <c r="AQ124" i="3"/>
  <c r="AQ142" i="3"/>
  <c r="AQ162" i="3"/>
  <c r="AQ171" i="3"/>
  <c r="AQ176" i="3"/>
  <c r="AQ181" i="3"/>
  <c r="AQ194" i="3"/>
  <c r="AK1" i="3"/>
  <c r="R135" i="2"/>
  <c r="X5" i="2" l="1"/>
  <c r="AQ1" i="3"/>
  <c r="R111" i="2" l="1"/>
  <c r="R8" i="2" l="1"/>
  <c r="R9" i="2"/>
  <c r="R10" i="2"/>
  <c r="R11" i="2"/>
  <c r="R12" i="2"/>
  <c r="R13" i="2"/>
  <c r="R14" i="2"/>
  <c r="R15" i="2"/>
  <c r="R16" i="2"/>
  <c r="R17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8" i="2"/>
  <c r="R109" i="2"/>
  <c r="R110" i="2"/>
  <c r="R112" i="2"/>
  <c r="R113" i="2"/>
  <c r="R114" i="2"/>
  <c r="R115" i="2"/>
  <c r="R116" i="2"/>
  <c r="R118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6" i="2"/>
  <c r="R138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90" i="2"/>
  <c r="R191" i="2"/>
  <c r="R192" i="2"/>
  <c r="R193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7" i="2"/>
  <c r="J8" i="2"/>
  <c r="O8" i="2" s="1"/>
  <c r="J9" i="2"/>
  <c r="K9" i="2" s="1"/>
  <c r="J10" i="2"/>
  <c r="J11" i="2"/>
  <c r="K11" i="2" s="1"/>
  <c r="J12" i="2"/>
  <c r="J13" i="2"/>
  <c r="J14" i="2"/>
  <c r="J15" i="2"/>
  <c r="K15" i="2" s="1"/>
  <c r="J16" i="2"/>
  <c r="O16" i="2" s="1"/>
  <c r="J17" i="2"/>
  <c r="L17" i="2" s="1"/>
  <c r="J18" i="2"/>
  <c r="K18" i="2" s="1"/>
  <c r="J19" i="2"/>
  <c r="K19" i="2" s="1"/>
  <c r="J20" i="2"/>
  <c r="K20" i="2" s="1"/>
  <c r="J21" i="2"/>
  <c r="K21" i="2" s="1"/>
  <c r="J22" i="2"/>
  <c r="J23" i="2"/>
  <c r="J24" i="2"/>
  <c r="J25" i="2"/>
  <c r="K25" i="2" s="1"/>
  <c r="J26" i="2"/>
  <c r="J27" i="2"/>
  <c r="K27" i="2" s="1"/>
  <c r="J28" i="2"/>
  <c r="J29" i="2"/>
  <c r="K29" i="2" s="1"/>
  <c r="J30" i="2"/>
  <c r="K30" i="2" s="1"/>
  <c r="J31" i="2"/>
  <c r="K31" i="2" s="1"/>
  <c r="J32" i="2"/>
  <c r="K32" i="2" s="1"/>
  <c r="J33" i="2"/>
  <c r="K33" i="2" s="1"/>
  <c r="J34" i="2"/>
  <c r="K34" i="2" s="1"/>
  <c r="J35" i="2"/>
  <c r="K35" i="2" s="1"/>
  <c r="J36" i="2"/>
  <c r="J37" i="2"/>
  <c r="K37" i="2" s="1"/>
  <c r="J38" i="2"/>
  <c r="J39" i="2"/>
  <c r="J40" i="2"/>
  <c r="J41" i="2"/>
  <c r="K41" i="2" s="1"/>
  <c r="J42" i="2"/>
  <c r="K42" i="2" s="1"/>
  <c r="J43" i="2"/>
  <c r="K43" i="2" s="1"/>
  <c r="J44" i="2"/>
  <c r="K44" i="2" s="1"/>
  <c r="J45" i="2"/>
  <c r="J46" i="2"/>
  <c r="K46" i="2" s="1"/>
  <c r="J47" i="2"/>
  <c r="K47" i="2" s="1"/>
  <c r="J48" i="2"/>
  <c r="J49" i="2"/>
  <c r="O49" i="2" s="1"/>
  <c r="J50" i="2"/>
  <c r="K50" i="2" s="1"/>
  <c r="J51" i="2"/>
  <c r="O51" i="2" s="1"/>
  <c r="J52" i="2"/>
  <c r="K52" i="2" s="1"/>
  <c r="J53" i="2"/>
  <c r="K53" i="2" s="1"/>
  <c r="J54" i="2"/>
  <c r="J55" i="2"/>
  <c r="K55" i="2" s="1"/>
  <c r="J56" i="2"/>
  <c r="K56" i="2" s="1"/>
  <c r="J57" i="2"/>
  <c r="K57" i="2" s="1"/>
  <c r="J58" i="2"/>
  <c r="K58" i="2" s="1"/>
  <c r="J59" i="2"/>
  <c r="K59" i="2" s="1"/>
  <c r="J60" i="2"/>
  <c r="K60" i="2" s="1"/>
  <c r="J61" i="2"/>
  <c r="K61" i="2" s="1"/>
  <c r="J62" i="2"/>
  <c r="J63" i="2"/>
  <c r="K63" i="2" s="1"/>
  <c r="J64" i="2"/>
  <c r="K64" i="2" s="1"/>
  <c r="J65" i="2"/>
  <c r="K65" i="2" s="1"/>
  <c r="J66" i="2"/>
  <c r="K66" i="2" s="1"/>
  <c r="J67" i="2"/>
  <c r="K67" i="2" s="1"/>
  <c r="J68" i="2"/>
  <c r="J69" i="2"/>
  <c r="J70" i="2"/>
  <c r="J71" i="2"/>
  <c r="K71" i="2" s="1"/>
  <c r="J72" i="2"/>
  <c r="J73" i="2"/>
  <c r="K73" i="2" s="1"/>
  <c r="J74" i="2"/>
  <c r="K74" i="2" s="1"/>
  <c r="J75" i="2"/>
  <c r="J76" i="2"/>
  <c r="K76" i="2" s="1"/>
  <c r="J77" i="2"/>
  <c r="J78" i="2"/>
  <c r="K78" i="2" s="1"/>
  <c r="J79" i="2"/>
  <c r="K79" i="2" s="1"/>
  <c r="J80" i="2"/>
  <c r="J81" i="2"/>
  <c r="K81" i="2" s="1"/>
  <c r="J82" i="2"/>
  <c r="K82" i="2" s="1"/>
  <c r="J83" i="2"/>
  <c r="K83" i="2" s="1"/>
  <c r="J84" i="2"/>
  <c r="K84" i="2" s="1"/>
  <c r="J85" i="2"/>
  <c r="K85" i="2" s="1"/>
  <c r="J86" i="2"/>
  <c r="K86" i="2" s="1"/>
  <c r="J87" i="2"/>
  <c r="K87" i="2" s="1"/>
  <c r="J88" i="2"/>
  <c r="K88" i="2" s="1"/>
  <c r="J89" i="2"/>
  <c r="J90" i="2"/>
  <c r="J91" i="2"/>
  <c r="K91" i="2" s="1"/>
  <c r="J92" i="2"/>
  <c r="J93" i="2"/>
  <c r="J94" i="2"/>
  <c r="J95" i="2"/>
  <c r="K95" i="2" s="1"/>
  <c r="J96" i="2"/>
  <c r="K96" i="2" s="1"/>
  <c r="J97" i="2"/>
  <c r="K97" i="2" s="1"/>
  <c r="J98" i="2"/>
  <c r="K98" i="2" s="1"/>
  <c r="J99" i="2"/>
  <c r="K99" i="2" s="1"/>
  <c r="J100" i="2"/>
  <c r="K100" i="2" s="1"/>
  <c r="J101" i="2"/>
  <c r="J102" i="2"/>
  <c r="O102" i="2" s="1"/>
  <c r="J103" i="2"/>
  <c r="K103" i="2" s="1"/>
  <c r="J104" i="2"/>
  <c r="K104" i="2" s="1"/>
  <c r="J105" i="2"/>
  <c r="K105" i="2" s="1"/>
  <c r="J106" i="2"/>
  <c r="K106" i="2" s="1"/>
  <c r="J107" i="2"/>
  <c r="J108" i="2"/>
  <c r="K108" i="2" s="1"/>
  <c r="J109" i="2"/>
  <c r="J110" i="2"/>
  <c r="J111" i="2"/>
  <c r="J112" i="2"/>
  <c r="J113" i="2"/>
  <c r="K113" i="2" s="1"/>
  <c r="J114" i="2"/>
  <c r="J115" i="2"/>
  <c r="K115" i="2" s="1"/>
  <c r="J116" i="2"/>
  <c r="K116" i="2" s="1"/>
  <c r="J117" i="2"/>
  <c r="J118" i="2"/>
  <c r="K118" i="2" s="1"/>
  <c r="J119" i="2"/>
  <c r="J120" i="2"/>
  <c r="K120" i="2" s="1"/>
  <c r="J121" i="2"/>
  <c r="K121" i="2" s="1"/>
  <c r="J122" i="2"/>
  <c r="K122" i="2" s="1"/>
  <c r="J123" i="2"/>
  <c r="J124" i="2"/>
  <c r="K124" i="2" s="1"/>
  <c r="J125" i="2"/>
  <c r="K125" i="2" s="1"/>
  <c r="J126" i="2"/>
  <c r="J127" i="2"/>
  <c r="J128" i="2"/>
  <c r="K128" i="2" s="1"/>
  <c r="J129" i="2"/>
  <c r="K129" i="2" s="1"/>
  <c r="J130" i="2"/>
  <c r="J131" i="2"/>
  <c r="K131" i="2" s="1"/>
  <c r="J132" i="2"/>
  <c r="K132" i="2" s="1"/>
  <c r="J133" i="2"/>
  <c r="K133" i="2" s="1"/>
  <c r="J134" i="2"/>
  <c r="J135" i="2"/>
  <c r="K135" i="2" s="1"/>
  <c r="J136" i="2"/>
  <c r="K136" i="2" s="1"/>
  <c r="J137" i="2"/>
  <c r="K137" i="2" s="1"/>
  <c r="J138" i="2"/>
  <c r="K138" i="2" s="1"/>
  <c r="J139" i="2"/>
  <c r="J140" i="2"/>
  <c r="J141" i="2"/>
  <c r="K141" i="2" s="1"/>
  <c r="J142" i="2"/>
  <c r="K142" i="2" s="1"/>
  <c r="J143" i="2"/>
  <c r="K143" i="2" s="1"/>
  <c r="J144" i="2"/>
  <c r="J145" i="2"/>
  <c r="K145" i="2" s="1"/>
  <c r="J146" i="2"/>
  <c r="J147" i="2"/>
  <c r="K147" i="2" s="1"/>
  <c r="J148" i="2"/>
  <c r="K148" i="2" s="1"/>
  <c r="J149" i="2"/>
  <c r="J150" i="2"/>
  <c r="K150" i="2" s="1"/>
  <c r="J151" i="2"/>
  <c r="J152" i="2"/>
  <c r="K152" i="2" s="1"/>
  <c r="J153" i="2"/>
  <c r="K153" i="2" s="1"/>
  <c r="J154" i="2"/>
  <c r="J155" i="2"/>
  <c r="K155" i="2" s="1"/>
  <c r="J156" i="2"/>
  <c r="K156" i="2" s="1"/>
  <c r="J157" i="2"/>
  <c r="K157" i="2" s="1"/>
  <c r="J158" i="2"/>
  <c r="J159" i="2"/>
  <c r="J160" i="2"/>
  <c r="K160" i="2" s="1"/>
  <c r="J161" i="2"/>
  <c r="J162" i="2"/>
  <c r="J163" i="2"/>
  <c r="J164" i="2"/>
  <c r="J165" i="2"/>
  <c r="K165" i="2" s="1"/>
  <c r="J166" i="2"/>
  <c r="J167" i="2"/>
  <c r="K167" i="2" s="1"/>
  <c r="J168" i="2"/>
  <c r="J169" i="2"/>
  <c r="K169" i="2" s="1"/>
  <c r="J170" i="2"/>
  <c r="J171" i="2"/>
  <c r="J172" i="2"/>
  <c r="K172" i="2" s="1"/>
  <c r="J173" i="2"/>
  <c r="K173" i="2" s="1"/>
  <c r="J174" i="2"/>
  <c r="J175" i="2"/>
  <c r="K175" i="2" s="1"/>
  <c r="J176" i="2"/>
  <c r="J177" i="2"/>
  <c r="K177" i="2" s="1"/>
  <c r="J178" i="2"/>
  <c r="K178" i="2" s="1"/>
  <c r="J179" i="2"/>
  <c r="K179" i="2" s="1"/>
  <c r="J180" i="2"/>
  <c r="J181" i="2"/>
  <c r="K181" i="2" s="1"/>
  <c r="J182" i="2"/>
  <c r="K182" i="2" s="1"/>
  <c r="J183" i="2"/>
  <c r="K183" i="2" s="1"/>
  <c r="J184" i="2"/>
  <c r="J185" i="2"/>
  <c r="J186" i="2"/>
  <c r="K186" i="2" s="1"/>
  <c r="J187" i="2"/>
  <c r="K187" i="2" s="1"/>
  <c r="J188" i="2"/>
  <c r="J189" i="2"/>
  <c r="K189" i="2" s="1"/>
  <c r="J190" i="2"/>
  <c r="J191" i="2"/>
  <c r="O191" i="2" s="1"/>
  <c r="J192" i="2"/>
  <c r="J193" i="2"/>
  <c r="J194" i="2"/>
  <c r="J195" i="2"/>
  <c r="J196" i="2"/>
  <c r="K196" i="2" s="1"/>
  <c r="J197" i="2"/>
  <c r="J198" i="2"/>
  <c r="J199" i="2"/>
  <c r="J200" i="2"/>
  <c r="O200" i="2" s="1"/>
  <c r="J201" i="2"/>
  <c r="K201" i="2" s="1"/>
  <c r="J202" i="2"/>
  <c r="K202" i="2" s="1"/>
  <c r="J203" i="2"/>
  <c r="J204" i="2"/>
  <c r="K204" i="2" s="1"/>
  <c r="J205" i="2"/>
  <c r="K205" i="2" s="1"/>
  <c r="J7" i="2"/>
  <c r="K7" i="2" s="1"/>
  <c r="H203" i="2"/>
  <c r="H202" i="2"/>
  <c r="H198" i="2"/>
  <c r="H195" i="2"/>
  <c r="H190" i="2"/>
  <c r="H188" i="2"/>
  <c r="H186" i="2"/>
  <c r="H180" i="2"/>
  <c r="H176" i="2"/>
  <c r="H170" i="2"/>
  <c r="H169" i="2"/>
  <c r="H166" i="2"/>
  <c r="H159" i="2"/>
  <c r="H157" i="2"/>
  <c r="H153" i="2"/>
  <c r="H152" i="2"/>
  <c r="H148" i="2"/>
  <c r="H137" i="2"/>
  <c r="H134" i="2"/>
  <c r="H131" i="2"/>
  <c r="H130" i="2"/>
  <c r="H129" i="2"/>
  <c r="H121" i="2"/>
  <c r="H118" i="2"/>
  <c r="H116" i="2"/>
  <c r="H113" i="2"/>
  <c r="H112" i="2"/>
  <c r="H111" i="2"/>
  <c r="H110" i="2"/>
  <c r="H109" i="2"/>
  <c r="H105" i="2"/>
  <c r="H102" i="2"/>
  <c r="H97" i="2"/>
  <c r="H94" i="2"/>
  <c r="H93" i="2"/>
  <c r="H89" i="2"/>
  <c r="H83" i="2"/>
  <c r="H82" i="2"/>
  <c r="H79" i="2"/>
  <c r="H75" i="2"/>
  <c r="H62" i="2"/>
  <c r="H55" i="2"/>
  <c r="H53" i="2"/>
  <c r="H48" i="2"/>
  <c r="H41" i="2"/>
  <c r="H37" i="2"/>
  <c r="H32" i="2"/>
  <c r="H28" i="2"/>
  <c r="H26" i="2"/>
  <c r="H23" i="2"/>
  <c r="H22" i="2"/>
  <c r="H20" i="2"/>
  <c r="H15" i="2"/>
  <c r="H8" i="2"/>
  <c r="H205" i="2"/>
  <c r="H201" i="2"/>
  <c r="H199" i="2"/>
  <c r="H196" i="2"/>
  <c r="H194" i="2"/>
  <c r="H193" i="2"/>
  <c r="H192" i="2"/>
  <c r="H187" i="2"/>
  <c r="H185" i="2"/>
  <c r="H183" i="2"/>
  <c r="H181" i="2"/>
  <c r="H179" i="2"/>
  <c r="H178" i="2"/>
  <c r="H177" i="2"/>
  <c r="H175" i="2"/>
  <c r="H174" i="2"/>
  <c r="H173" i="2"/>
  <c r="H172" i="2"/>
  <c r="H171" i="2"/>
  <c r="H165" i="2"/>
  <c r="H164" i="2"/>
  <c r="H163" i="2"/>
  <c r="H162" i="2"/>
  <c r="H161" i="2"/>
  <c r="H156" i="2"/>
  <c r="H155" i="2"/>
  <c r="H154" i="2"/>
  <c r="H151" i="2"/>
  <c r="H150" i="2"/>
  <c r="H149" i="2"/>
  <c r="H147" i="2"/>
  <c r="H146" i="2"/>
  <c r="H144" i="2"/>
  <c r="H143" i="2"/>
  <c r="H140" i="2"/>
  <c r="H139" i="2"/>
  <c r="H138" i="2"/>
  <c r="H136" i="2"/>
  <c r="H133" i="2"/>
  <c r="H127" i="2"/>
  <c r="H125" i="2"/>
  <c r="H123" i="2"/>
  <c r="H122" i="2"/>
  <c r="H120" i="2"/>
  <c r="H119" i="2"/>
  <c r="H115" i="2"/>
  <c r="H108" i="2"/>
  <c r="H106" i="2"/>
  <c r="H104" i="2"/>
  <c r="H103" i="2"/>
  <c r="H101" i="2"/>
  <c r="H100" i="2"/>
  <c r="H99" i="2"/>
  <c r="H98" i="2"/>
  <c r="H96" i="2"/>
  <c r="H95" i="2"/>
  <c r="H91" i="2"/>
  <c r="H90" i="2"/>
  <c r="H88" i="2"/>
  <c r="H87" i="2"/>
  <c r="H86" i="2"/>
  <c r="H84" i="2"/>
  <c r="H80" i="2"/>
  <c r="H78" i="2"/>
  <c r="H77" i="2"/>
  <c r="H76" i="2"/>
  <c r="H74" i="2"/>
  <c r="H73" i="2"/>
  <c r="H72" i="2"/>
  <c r="H71" i="2"/>
  <c r="H69" i="2"/>
  <c r="H68" i="2"/>
  <c r="H66" i="2"/>
  <c r="H64" i="2"/>
  <c r="H63" i="2"/>
  <c r="H61" i="2"/>
  <c r="H58" i="2"/>
  <c r="H56" i="2"/>
  <c r="H52" i="2"/>
  <c r="H51" i="2"/>
  <c r="H50" i="2"/>
  <c r="H49" i="2"/>
  <c r="H47" i="2"/>
  <c r="H46" i="2"/>
  <c r="H45" i="2"/>
  <c r="H44" i="2"/>
  <c r="H43" i="2"/>
  <c r="H42" i="2"/>
  <c r="H38" i="2"/>
  <c r="H36" i="2"/>
  <c r="H35" i="2"/>
  <c r="H34" i="2"/>
  <c r="H33" i="2"/>
  <c r="H31" i="2"/>
  <c r="H30" i="2"/>
  <c r="H27" i="2"/>
  <c r="H25" i="2"/>
  <c r="H24" i="2"/>
  <c r="H21" i="2"/>
  <c r="H19" i="2"/>
  <c r="H17" i="2"/>
  <c r="H16" i="2"/>
  <c r="H9" i="2"/>
  <c r="H10" i="2"/>
  <c r="H11" i="2"/>
  <c r="H12" i="2"/>
  <c r="H13" i="2"/>
  <c r="H14" i="2"/>
  <c r="H18" i="2"/>
  <c r="H29" i="2"/>
  <c r="H39" i="2"/>
  <c r="H40" i="2"/>
  <c r="H54" i="2"/>
  <c r="H57" i="2"/>
  <c r="H59" i="2"/>
  <c r="H60" i="2"/>
  <c r="H65" i="2"/>
  <c r="H67" i="2"/>
  <c r="H70" i="2"/>
  <c r="H81" i="2"/>
  <c r="H85" i="2"/>
  <c r="H92" i="2"/>
  <c r="H107" i="2"/>
  <c r="H114" i="2"/>
  <c r="H117" i="2"/>
  <c r="H124" i="2"/>
  <c r="H126" i="2"/>
  <c r="H128" i="2"/>
  <c r="H132" i="2"/>
  <c r="H135" i="2"/>
  <c r="H141" i="2"/>
  <c r="H142" i="2"/>
  <c r="H145" i="2"/>
  <c r="H158" i="2"/>
  <c r="H160" i="2"/>
  <c r="H167" i="2"/>
  <c r="H168" i="2"/>
  <c r="H182" i="2"/>
  <c r="H184" i="2"/>
  <c r="H189" i="2"/>
  <c r="H191" i="2"/>
  <c r="H197" i="2"/>
  <c r="H200" i="2"/>
  <c r="H204" i="2"/>
  <c r="H206" i="2"/>
  <c r="H7" i="2"/>
  <c r="AC133" i="2"/>
  <c r="K12" i="2" l="1"/>
  <c r="S12" i="2" s="1"/>
  <c r="T12" i="2" s="1"/>
  <c r="O180" i="2"/>
  <c r="K180" i="2"/>
  <c r="O164" i="2"/>
  <c r="K164" i="2"/>
  <c r="O68" i="2"/>
  <c r="K68" i="2"/>
  <c r="O36" i="2"/>
  <c r="K36" i="2"/>
  <c r="K130" i="2"/>
  <c r="O130" i="2"/>
  <c r="K193" i="2"/>
  <c r="O193" i="2"/>
  <c r="K192" i="2"/>
  <c r="O192" i="2"/>
  <c r="K176" i="2"/>
  <c r="O176" i="2"/>
  <c r="K144" i="2"/>
  <c r="O144" i="2"/>
  <c r="K112" i="2"/>
  <c r="O112" i="2"/>
  <c r="K80" i="2"/>
  <c r="O80" i="2"/>
  <c r="K48" i="2"/>
  <c r="O48" i="2"/>
  <c r="K194" i="2"/>
  <c r="O194" i="2"/>
  <c r="K161" i="2"/>
  <c r="O161" i="2"/>
  <c r="O159" i="2"/>
  <c r="K159" i="2"/>
  <c r="O127" i="2"/>
  <c r="K127" i="2"/>
  <c r="O111" i="2"/>
  <c r="K111" i="2"/>
  <c r="K114" i="2"/>
  <c r="O114" i="2"/>
  <c r="K190" i="2"/>
  <c r="O190" i="2"/>
  <c r="K174" i="2"/>
  <c r="O174" i="2"/>
  <c r="K110" i="2"/>
  <c r="O110" i="2"/>
  <c r="K94" i="2"/>
  <c r="O94" i="2"/>
  <c r="K62" i="2"/>
  <c r="O62" i="2"/>
  <c r="K14" i="2"/>
  <c r="S14" i="2" s="1"/>
  <c r="O14" i="2"/>
  <c r="O205" i="2"/>
  <c r="K109" i="2"/>
  <c r="O109" i="2"/>
  <c r="K93" i="2"/>
  <c r="O93" i="2"/>
  <c r="K45" i="2"/>
  <c r="O45" i="2"/>
  <c r="K13" i="2"/>
  <c r="O13" i="2"/>
  <c r="K195" i="2"/>
  <c r="O195" i="2"/>
  <c r="K162" i="2"/>
  <c r="O162" i="2"/>
  <c r="K188" i="2"/>
  <c r="O188" i="2"/>
  <c r="K92" i="2"/>
  <c r="O92" i="2"/>
  <c r="K171" i="2"/>
  <c r="O171" i="2"/>
  <c r="O139" i="2"/>
  <c r="L139" i="2"/>
  <c r="K123" i="2"/>
  <c r="O123" i="2"/>
  <c r="O107" i="2"/>
  <c r="L107" i="2"/>
  <c r="K75" i="2"/>
  <c r="O75" i="2"/>
  <c r="K26" i="2"/>
  <c r="O26" i="2"/>
  <c r="O89" i="2"/>
  <c r="L89" i="2"/>
  <c r="K146" i="2"/>
  <c r="O146" i="2"/>
  <c r="K185" i="2"/>
  <c r="O185" i="2"/>
  <c r="K184" i="2"/>
  <c r="O184" i="2"/>
  <c r="K168" i="2"/>
  <c r="O168" i="2"/>
  <c r="K72" i="2"/>
  <c r="O72" i="2"/>
  <c r="K40" i="2"/>
  <c r="O40" i="2"/>
  <c r="K24" i="2"/>
  <c r="O24" i="2"/>
  <c r="L8" i="2"/>
  <c r="K154" i="2"/>
  <c r="O154" i="2"/>
  <c r="O199" i="2"/>
  <c r="K199" i="2"/>
  <c r="O151" i="2"/>
  <c r="K151" i="2"/>
  <c r="O119" i="2"/>
  <c r="K119" i="2"/>
  <c r="O39" i="2"/>
  <c r="K39" i="2"/>
  <c r="K170" i="2"/>
  <c r="O170" i="2"/>
  <c r="O198" i="2"/>
  <c r="K198" i="2"/>
  <c r="O166" i="2"/>
  <c r="L166" i="2"/>
  <c r="O134" i="2"/>
  <c r="K134" i="2"/>
  <c r="O70" i="2"/>
  <c r="K70" i="2"/>
  <c r="O54" i="2"/>
  <c r="K54" i="2"/>
  <c r="O38" i="2"/>
  <c r="K38" i="2"/>
  <c r="O22" i="2"/>
  <c r="K22" i="2"/>
  <c r="K163" i="2"/>
  <c r="O163" i="2"/>
  <c r="O149" i="2"/>
  <c r="K149" i="2"/>
  <c r="O117" i="2"/>
  <c r="K117" i="2"/>
  <c r="O69" i="2"/>
  <c r="K69" i="2"/>
  <c r="S30" i="2"/>
  <c r="T30" i="2" s="1"/>
  <c r="S125" i="2"/>
  <c r="T125" i="2" s="1"/>
  <c r="S100" i="2"/>
  <c r="T100" i="2" s="1"/>
  <c r="S164" i="2"/>
  <c r="T164" i="2" s="1"/>
  <c r="S137" i="2"/>
  <c r="T137" i="2" s="1"/>
  <c r="S83" i="2"/>
  <c r="T83" i="2" s="1"/>
  <c r="S84" i="2"/>
  <c r="T84" i="2" s="1"/>
  <c r="S20" i="2"/>
  <c r="T20" i="2" s="1"/>
  <c r="S102" i="2"/>
  <c r="T102" i="2" s="1"/>
  <c r="S101" i="2"/>
  <c r="T101" i="2" s="1"/>
  <c r="S77" i="2"/>
  <c r="T77" i="2" s="1"/>
  <c r="S61" i="2"/>
  <c r="T61" i="2" s="1"/>
  <c r="S53" i="2"/>
  <c r="T53" i="2" s="1"/>
  <c r="S44" i="2"/>
  <c r="T44" i="2" s="1"/>
  <c r="S187" i="2"/>
  <c r="T187" i="2" s="1"/>
  <c r="S91" i="2"/>
  <c r="T91" i="2" s="1"/>
  <c r="S43" i="2"/>
  <c r="T43" i="2" s="1"/>
  <c r="S76" i="2"/>
  <c r="T76" i="2" s="1"/>
  <c r="S138" i="2"/>
  <c r="T138" i="2" s="1"/>
  <c r="S60" i="2"/>
  <c r="T60" i="2" s="1"/>
  <c r="S105" i="2"/>
  <c r="T105" i="2" s="1"/>
  <c r="S81" i="2"/>
  <c r="T81" i="2" s="1"/>
  <c r="S41" i="2"/>
  <c r="T41" i="2" s="1"/>
  <c r="S136" i="2"/>
  <c r="T136" i="2" s="1"/>
  <c r="S56" i="2"/>
  <c r="T56" i="2" s="1"/>
  <c r="S28" i="2"/>
  <c r="T28" i="2" s="1"/>
  <c r="S79" i="2"/>
  <c r="T79" i="2" s="1"/>
  <c r="AC146" i="2"/>
  <c r="AC205" i="2"/>
  <c r="AC126" i="2"/>
  <c r="AC89" i="2"/>
  <c r="AC37" i="2"/>
  <c r="AC178" i="2"/>
  <c r="AC189" i="2"/>
  <c r="AC179" i="2"/>
  <c r="AC84" i="2"/>
  <c r="AC116" i="2"/>
  <c r="AC28" i="2"/>
  <c r="AC40" i="2"/>
  <c r="AC135" i="2"/>
  <c r="AC78" i="2"/>
  <c r="AC35" i="2"/>
  <c r="AC34" i="2"/>
  <c r="AC46" i="2"/>
  <c r="AC120" i="2"/>
  <c r="AC68" i="2"/>
  <c r="AC9" i="2"/>
  <c r="AC165" i="2"/>
  <c r="AC90" i="2"/>
  <c r="AC99" i="2"/>
  <c r="AC39" i="2"/>
  <c r="AC98" i="2"/>
  <c r="AC122" i="2"/>
  <c r="AC36" i="2"/>
  <c r="AC159" i="2"/>
  <c r="AC57" i="2"/>
  <c r="AC19" i="2"/>
  <c r="AC164" i="2"/>
  <c r="AC45" i="2"/>
  <c r="AC44" i="2"/>
  <c r="AC49" i="2"/>
  <c r="AC100" i="2"/>
  <c r="AC154" i="2"/>
  <c r="AC128" i="2"/>
  <c r="AC200" i="2"/>
  <c r="AC87" i="2"/>
  <c r="AC58" i="2"/>
  <c r="AC22" i="2"/>
  <c r="AC96" i="2"/>
  <c r="AC14" i="2"/>
  <c r="AC203" i="2"/>
  <c r="AC141" i="2"/>
  <c r="AC117" i="2"/>
  <c r="AC31" i="2"/>
  <c r="AC114" i="2"/>
  <c r="AC129" i="2"/>
  <c r="AC150" i="2"/>
  <c r="AC86" i="2"/>
  <c r="AC134" i="2"/>
  <c r="AC188" i="2"/>
  <c r="AC77" i="2"/>
  <c r="AC21" i="2"/>
  <c r="AC16" i="2"/>
  <c r="AC168" i="2"/>
  <c r="AC25" i="2"/>
  <c r="AC108" i="2"/>
  <c r="AC155" i="2"/>
  <c r="AC149" i="2"/>
  <c r="AC26" i="2"/>
  <c r="AC113" i="2"/>
  <c r="AC81" i="2"/>
  <c r="AC176" i="2"/>
  <c r="AC196" i="2"/>
  <c r="AC43" i="2"/>
  <c r="AC194" i="2"/>
  <c r="AC75" i="2"/>
  <c r="AC67" i="2"/>
  <c r="AC138" i="2"/>
  <c r="AC74" i="2"/>
  <c r="AC69" i="2"/>
  <c r="AC161" i="2"/>
  <c r="AC174" i="2"/>
  <c r="AC70" i="2"/>
  <c r="AC204" i="2"/>
  <c r="AC181" i="2"/>
  <c r="AC124" i="2"/>
  <c r="AC148" i="2"/>
  <c r="AC127" i="2"/>
  <c r="AC13" i="2"/>
  <c r="AC125" i="2"/>
  <c r="AC15" i="2"/>
  <c r="AC106" i="2"/>
  <c r="AC144" i="2"/>
  <c r="AC66" i="2"/>
  <c r="AC183" i="2"/>
  <c r="AC95" i="2"/>
  <c r="AC17" i="2"/>
  <c r="AC147" i="2"/>
  <c r="AC71" i="2"/>
  <c r="AC136" i="2"/>
  <c r="AC172" i="2"/>
  <c r="AC180" i="2"/>
  <c r="AC195" i="2"/>
  <c r="AC190" i="2"/>
  <c r="AC206" i="2"/>
  <c r="AC184" i="2"/>
  <c r="AC157" i="2"/>
  <c r="AC119" i="2"/>
  <c r="AC137" i="2"/>
  <c r="AC104" i="2"/>
  <c r="AC27" i="2"/>
  <c r="AC11" i="2"/>
  <c r="AC143" i="2"/>
  <c r="AC185" i="2"/>
  <c r="AC153" i="2"/>
  <c r="AC76" i="2"/>
  <c r="AC187" i="2"/>
  <c r="AC142" i="2"/>
  <c r="AC29" i="2"/>
  <c r="AC162" i="2"/>
  <c r="AC64" i="2"/>
  <c r="AC8" i="2"/>
  <c r="AC158" i="2"/>
  <c r="AC182" i="2"/>
  <c r="AC20" i="2"/>
  <c r="AC111" i="2"/>
  <c r="AC52" i="2"/>
  <c r="AC38" i="2"/>
  <c r="AC24" i="2"/>
  <c r="AC193" i="2"/>
  <c r="AC123" i="2"/>
  <c r="AC47" i="2"/>
  <c r="AC73" i="2"/>
  <c r="AC163" i="2"/>
  <c r="AC202" i="2"/>
  <c r="AC80" i="2"/>
  <c r="AC191" i="2"/>
  <c r="AC105" i="2"/>
  <c r="AC197" i="2"/>
  <c r="AC177" i="2"/>
  <c r="AC72" i="2"/>
  <c r="AC151" i="2"/>
  <c r="AC173" i="2"/>
  <c r="AC10" i="2"/>
  <c r="AC93" i="2"/>
  <c r="AC79" i="2"/>
  <c r="AC152" i="2"/>
  <c r="AC54" i="2"/>
  <c r="AC97" i="2"/>
  <c r="AC131" i="2"/>
  <c r="AC51" i="2"/>
  <c r="AC118" i="2"/>
  <c r="AC156" i="2"/>
  <c r="AC88" i="2"/>
  <c r="AC169" i="2"/>
  <c r="AC85" i="2"/>
  <c r="AC53" i="2"/>
  <c r="AC30" i="2"/>
  <c r="AC170" i="2"/>
  <c r="AC91" i="2"/>
  <c r="AC112" i="2"/>
  <c r="AC130" i="2"/>
  <c r="AC145" i="2"/>
  <c r="AC12" i="2"/>
  <c r="AC101" i="2"/>
  <c r="AC94" i="2"/>
  <c r="AC42" i="2"/>
  <c r="AC140" i="2"/>
  <c r="AC166" i="2"/>
  <c r="AC33" i="2"/>
  <c r="AC102" i="2"/>
  <c r="AC139" i="2"/>
  <c r="AC109" i="2"/>
  <c r="AC60" i="2"/>
  <c r="AC32" i="2"/>
  <c r="AC167" i="2"/>
  <c r="AC83" i="2"/>
  <c r="AC82" i="2"/>
  <c r="AC61" i="2"/>
  <c r="AC115" i="2"/>
  <c r="AC23" i="2"/>
  <c r="AC63" i="2"/>
  <c r="AC65" i="2"/>
  <c r="AC192" i="2"/>
  <c r="AC199" i="2"/>
  <c r="AC50" i="2"/>
  <c r="AC198" i="2"/>
  <c r="AC56" i="2"/>
  <c r="AC201" i="2"/>
  <c r="AC62" i="2"/>
  <c r="AC59" i="2"/>
  <c r="AC92" i="2"/>
  <c r="AC186" i="2"/>
  <c r="AC160" i="2"/>
  <c r="AC121" i="2"/>
  <c r="AC55" i="2"/>
  <c r="AC171" i="2"/>
  <c r="AC41" i="2"/>
  <c r="AC107" i="2"/>
  <c r="AC48" i="2"/>
  <c r="AC110" i="2"/>
  <c r="AC103" i="2"/>
  <c r="AC132" i="2"/>
  <c r="S31" i="2"/>
  <c r="S15" i="2"/>
  <c r="S189" i="2"/>
  <c r="S29" i="2"/>
  <c r="S172" i="2"/>
  <c r="S96" i="2"/>
  <c r="S155" i="2"/>
  <c r="S59" i="2"/>
  <c r="S142" i="2"/>
  <c r="S202" i="2"/>
  <c r="S191" i="2"/>
  <c r="S104" i="2"/>
  <c r="S23" i="2"/>
  <c r="S112" i="2"/>
  <c r="S200" i="2"/>
  <c r="S152" i="2"/>
  <c r="S197" i="2"/>
  <c r="S160" i="2"/>
  <c r="S74" i="2"/>
  <c r="S52" i="2"/>
  <c r="S179" i="2"/>
  <c r="S147" i="2"/>
  <c r="S141" i="2"/>
  <c r="S66" i="2"/>
  <c r="S129" i="2"/>
  <c r="S113" i="2"/>
  <c r="S49" i="2"/>
  <c r="S190" i="2" l="1"/>
  <c r="T190" i="2" s="1"/>
  <c r="S54" i="2"/>
  <c r="S151" i="2"/>
  <c r="T151" i="2" s="1"/>
  <c r="S146" i="2"/>
  <c r="T146" i="2" s="1"/>
  <c r="S93" i="2"/>
  <c r="S92" i="2"/>
  <c r="S205" i="2"/>
  <c r="S144" i="2"/>
  <c r="T144" i="2" s="1"/>
  <c r="S39" i="2"/>
  <c r="T39" i="2" s="1"/>
  <c r="S72" i="2"/>
  <c r="T72" i="2" s="1"/>
  <c r="S130" i="2"/>
  <c r="T130" i="2" s="1"/>
  <c r="S184" i="2"/>
  <c r="T184" i="2" s="1"/>
  <c r="S68" i="2"/>
  <c r="T68" i="2" s="1"/>
  <c r="S194" i="2"/>
  <c r="T194" i="2" s="1"/>
  <c r="S134" i="2"/>
  <c r="T134" i="2" s="1"/>
  <c r="S13" i="2"/>
  <c r="T13" i="2" s="1"/>
  <c r="S36" i="2"/>
  <c r="T36" i="2" s="1"/>
  <c r="S24" i="2"/>
  <c r="T24" i="2" s="1"/>
  <c r="S26" i="2"/>
  <c r="T26" i="2" s="1"/>
  <c r="S192" i="2"/>
  <c r="T192" i="2" s="1"/>
  <c r="S170" i="2"/>
  <c r="T170" i="2" s="1"/>
  <c r="S75" i="2"/>
  <c r="T75" i="2" s="1"/>
  <c r="S168" i="2"/>
  <c r="T168" i="2" s="1"/>
  <c r="S123" i="2"/>
  <c r="T123" i="2" s="1"/>
  <c r="S45" i="2"/>
  <c r="T45" i="2" s="1"/>
  <c r="S8" i="2"/>
  <c r="T8" i="2" s="1"/>
  <c r="S89" i="2"/>
  <c r="T89" i="2" s="1"/>
  <c r="T14" i="2"/>
  <c r="S127" i="2"/>
  <c r="T127" i="2" s="1"/>
  <c r="S176" i="2"/>
  <c r="T176" i="2" s="1"/>
  <c r="S117" i="2"/>
  <c r="T117" i="2" s="1"/>
  <c r="S198" i="2"/>
  <c r="T198" i="2" s="1"/>
  <c r="S163" i="2"/>
  <c r="T163" i="2" s="1"/>
  <c r="S40" i="2"/>
  <c r="T40" i="2" s="1"/>
  <c r="S69" i="2"/>
  <c r="T69" i="2" s="1"/>
  <c r="S182" i="2"/>
  <c r="T182" i="2" s="1"/>
  <c r="S122" i="2"/>
  <c r="T122" i="2" s="1"/>
  <c r="S7" i="2"/>
  <c r="T7" i="2" s="1"/>
  <c r="S166" i="2"/>
  <c r="T166" i="2" s="1"/>
  <c r="S67" i="2"/>
  <c r="T67" i="2" s="1"/>
  <c r="S103" i="2"/>
  <c r="T103" i="2" s="1"/>
  <c r="S42" i="2"/>
  <c r="T42" i="2" s="1"/>
  <c r="S82" i="2"/>
  <c r="T82" i="2" s="1"/>
  <c r="S193" i="2"/>
  <c r="T193" i="2" s="1"/>
  <c r="S106" i="2"/>
  <c r="T106" i="2" s="1"/>
  <c r="S174" i="2"/>
  <c r="T174" i="2" s="1"/>
  <c r="S149" i="2"/>
  <c r="T149" i="2" s="1"/>
  <c r="S119" i="2"/>
  <c r="T119" i="2" s="1"/>
  <c r="S90" i="2"/>
  <c r="T90" i="2" s="1"/>
  <c r="S110" i="2"/>
  <c r="T110" i="2" s="1"/>
  <c r="S17" i="2"/>
  <c r="T17" i="2" s="1"/>
  <c r="S114" i="2"/>
  <c r="T114" i="2" s="1"/>
  <c r="S16" i="2"/>
  <c r="T16" i="2" s="1"/>
  <c r="S153" i="2"/>
  <c r="T153" i="2" s="1"/>
  <c r="S107" i="2"/>
  <c r="T107" i="2" s="1"/>
  <c r="S120" i="2"/>
  <c r="T120" i="2" s="1"/>
  <c r="S181" i="2"/>
  <c r="T181" i="2" s="1"/>
  <c r="S97" i="2"/>
  <c r="T97" i="2" s="1"/>
  <c r="S11" i="2"/>
  <c r="T11" i="2" s="1"/>
  <c r="S57" i="2"/>
  <c r="T57" i="2" s="1"/>
  <c r="S27" i="2"/>
  <c r="T27" i="2" s="1"/>
  <c r="S18" i="2"/>
  <c r="S108" i="2"/>
  <c r="T108" i="2" s="1"/>
  <c r="S63" i="2"/>
  <c r="T63" i="2" s="1"/>
  <c r="S19" i="2"/>
  <c r="T19" i="2" s="1"/>
  <c r="S21" i="2"/>
  <c r="T21" i="2" s="1"/>
  <c r="S145" i="2"/>
  <c r="T145" i="2" s="1"/>
  <c r="S115" i="2"/>
  <c r="T115" i="2" s="1"/>
  <c r="S124" i="2"/>
  <c r="T124" i="2" s="1"/>
  <c r="T93" i="2"/>
  <c r="S71" i="2"/>
  <c r="T71" i="2" s="1"/>
  <c r="S111" i="2"/>
  <c r="T111" i="2" s="1"/>
  <c r="S199" i="2"/>
  <c r="T199" i="2" s="1"/>
  <c r="S64" i="2"/>
  <c r="T64" i="2" s="1"/>
  <c r="S9" i="2"/>
  <c r="T9" i="2" s="1"/>
  <c r="S154" i="2"/>
  <c r="T154" i="2" s="1"/>
  <c r="S171" i="2"/>
  <c r="T171" i="2" s="1"/>
  <c r="S62" i="2"/>
  <c r="T62" i="2" s="1"/>
  <c r="S150" i="2"/>
  <c r="T150" i="2" s="1"/>
  <c r="S148" i="2"/>
  <c r="T148" i="2" s="1"/>
  <c r="T129" i="2"/>
  <c r="T155" i="2"/>
  <c r="T15" i="2"/>
  <c r="T49" i="2"/>
  <c r="T66" i="2"/>
  <c r="T147" i="2"/>
  <c r="T202" i="2"/>
  <c r="T59" i="2"/>
  <c r="T189" i="2"/>
  <c r="S159" i="2"/>
  <c r="T159" i="2" s="1"/>
  <c r="S161" i="2"/>
  <c r="T161" i="2" s="1"/>
  <c r="S201" i="2"/>
  <c r="T201" i="2" s="1"/>
  <c r="S34" i="2"/>
  <c r="T34" i="2" s="1"/>
  <c r="S162" i="2"/>
  <c r="T162" i="2" s="1"/>
  <c r="S157" i="2"/>
  <c r="T157" i="2" s="1"/>
  <c r="S70" i="2"/>
  <c r="T70" i="2" s="1"/>
  <c r="S158" i="2"/>
  <c r="T158" i="2" s="1"/>
  <c r="T52" i="2"/>
  <c r="T74" i="2"/>
  <c r="T152" i="2"/>
  <c r="T172" i="2"/>
  <c r="S167" i="2"/>
  <c r="T167" i="2" s="1"/>
  <c r="S32" i="2"/>
  <c r="T32" i="2" s="1"/>
  <c r="S65" i="2"/>
  <c r="T65" i="2" s="1"/>
  <c r="S132" i="2"/>
  <c r="T132" i="2" s="1"/>
  <c r="S35" i="2"/>
  <c r="T35" i="2" s="1"/>
  <c r="S37" i="2"/>
  <c r="T37" i="2" s="1"/>
  <c r="S109" i="2"/>
  <c r="T109" i="2" s="1"/>
  <c r="S78" i="2"/>
  <c r="T78" i="2" s="1"/>
  <c r="S206" i="2"/>
  <c r="T206" i="2" s="1"/>
  <c r="S180" i="2"/>
  <c r="T180" i="2" s="1"/>
  <c r="T104" i="2"/>
  <c r="T96" i="2"/>
  <c r="T29" i="2"/>
  <c r="T31" i="2"/>
  <c r="T179" i="2"/>
  <c r="T160" i="2"/>
  <c r="T197" i="2"/>
  <c r="T200" i="2"/>
  <c r="T142" i="2"/>
  <c r="S47" i="2"/>
  <c r="T47" i="2" s="1"/>
  <c r="S87" i="2"/>
  <c r="T87" i="2" s="1"/>
  <c r="S175" i="2"/>
  <c r="T175" i="2" s="1"/>
  <c r="S80" i="2"/>
  <c r="T80" i="2" s="1"/>
  <c r="S128" i="2"/>
  <c r="T128" i="2" s="1"/>
  <c r="S25" i="2"/>
  <c r="T25" i="2" s="1"/>
  <c r="S73" i="2"/>
  <c r="T73" i="2" s="1"/>
  <c r="S169" i="2"/>
  <c r="T169" i="2" s="1"/>
  <c r="S116" i="2"/>
  <c r="T116" i="2" s="1"/>
  <c r="S131" i="2"/>
  <c r="T131" i="2" s="1"/>
  <c r="S165" i="2"/>
  <c r="T165" i="2" s="1"/>
  <c r="S22" i="2"/>
  <c r="T22" i="2" s="1"/>
  <c r="S86" i="2"/>
  <c r="T86" i="2" s="1"/>
  <c r="S118" i="2"/>
  <c r="T118" i="2" s="1"/>
  <c r="S188" i="2"/>
  <c r="T188" i="2" s="1"/>
  <c r="S95" i="2"/>
  <c r="T95" i="2" s="1"/>
  <c r="S135" i="2"/>
  <c r="T135" i="2" s="1"/>
  <c r="S88" i="2"/>
  <c r="T88" i="2" s="1"/>
  <c r="S121" i="2"/>
  <c r="T121" i="2" s="1"/>
  <c r="S177" i="2"/>
  <c r="T177" i="2" s="1"/>
  <c r="S10" i="2"/>
  <c r="T10" i="2" s="1"/>
  <c r="S50" i="2"/>
  <c r="T50" i="2" s="1"/>
  <c r="S98" i="2"/>
  <c r="T98" i="2" s="1"/>
  <c r="S178" i="2"/>
  <c r="T178" i="2" s="1"/>
  <c r="S195" i="2"/>
  <c r="T195" i="2" s="1"/>
  <c r="S173" i="2"/>
  <c r="T173" i="2" s="1"/>
  <c r="S38" i="2"/>
  <c r="T38" i="2" s="1"/>
  <c r="S126" i="2"/>
  <c r="T126" i="2" s="1"/>
  <c r="S196" i="2"/>
  <c r="T196" i="2" s="1"/>
  <c r="T113" i="2"/>
  <c r="T141" i="2"/>
  <c r="T54" i="2"/>
  <c r="T112" i="2"/>
  <c r="T23" i="2"/>
  <c r="T191" i="2"/>
  <c r="T205" i="2"/>
  <c r="T92" i="2"/>
  <c r="S55" i="2"/>
  <c r="T55" i="2" s="1"/>
  <c r="S143" i="2"/>
  <c r="T143" i="2" s="1"/>
  <c r="S183" i="2"/>
  <c r="T183" i="2" s="1"/>
  <c r="S48" i="2"/>
  <c r="T48" i="2" s="1"/>
  <c r="S140" i="2"/>
  <c r="T140" i="2" s="1"/>
  <c r="S33" i="2"/>
  <c r="T33" i="2" s="1"/>
  <c r="S185" i="2"/>
  <c r="T185" i="2" s="1"/>
  <c r="S58" i="2"/>
  <c r="T58" i="2" s="1"/>
  <c r="S186" i="2"/>
  <c r="T186" i="2" s="1"/>
  <c r="S156" i="2"/>
  <c r="T156" i="2" s="1"/>
  <c r="S51" i="2"/>
  <c r="T51" i="2" s="1"/>
  <c r="S99" i="2"/>
  <c r="T99" i="2" s="1"/>
  <c r="S139" i="2"/>
  <c r="T139" i="2" s="1"/>
  <c r="S203" i="2"/>
  <c r="T203" i="2" s="1"/>
  <c r="S204" i="2"/>
  <c r="T204" i="2" s="1"/>
  <c r="S85" i="2"/>
  <c r="T85" i="2" s="1"/>
  <c r="S133" i="2"/>
  <c r="T133" i="2" s="1"/>
  <c r="S46" i="2"/>
  <c r="T46" i="2" s="1"/>
  <c r="S94" i="2"/>
  <c r="T94" i="2" s="1"/>
  <c r="T18" i="2" l="1"/>
  <c r="AC175" i="2" l="1"/>
  <c r="AC5" i="2" l="1"/>
  <c r="AC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Tram Le</author>
  </authors>
  <commentList>
    <comment ref="AK94" authorId="0" shapeId="0" xr:uid="{8B866978-0F8F-48BE-BE63-D074046E22C4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CBNV </t>
        </r>
      </text>
    </comment>
    <comment ref="AV135" authorId="0" shapeId="0" xr:uid="{74466C32-D53D-4D14-BA61-8CD90A3F175A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CN Phụ kiện</t>
        </r>
      </text>
    </comment>
    <comment ref="AV136" authorId="0" shapeId="0" xr:uid="{E612E74A-486C-4977-ADEE-98F00EDC80BB}">
      <text>
        <r>
          <rPr>
            <b/>
            <sz val="9"/>
            <color indexed="81"/>
            <rFont val="Tahoma"/>
            <family val="2"/>
          </rPr>
          <t>Tram Le:</t>
        </r>
        <r>
          <rPr>
            <sz val="9"/>
            <color indexed="81"/>
            <rFont val="Tahoma"/>
            <family val="2"/>
          </rPr>
          <t xml:space="preserve">
CN Phụ kiện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<sst xmlns="http://schemas.openxmlformats.org/spreadsheetml/2006/main" count="8031" uniqueCount="2009">
  <si>
    <t>Ngày ct</t>
  </si>
  <si>
    <t>Mã ct</t>
  </si>
  <si>
    <t>Số ct</t>
  </si>
  <si>
    <t>Mã khách</t>
  </si>
  <si>
    <t>Tên khách</t>
  </si>
  <si>
    <t>Diễn giải</t>
  </si>
  <si>
    <t>Vụ việc</t>
  </si>
  <si>
    <t>Bộ phận</t>
  </si>
  <si>
    <t>HD</t>
  </si>
  <si>
    <t>2DTXE</t>
  </si>
  <si>
    <t>BLKD</t>
  </si>
  <si>
    <t>51111</t>
  </si>
  <si>
    <t>131111</t>
  </si>
  <si>
    <t>LAKD</t>
  </si>
  <si>
    <t>SLKD</t>
  </si>
  <si>
    <t>Q9KD</t>
  </si>
  <si>
    <t>QTKD</t>
  </si>
  <si>
    <t>2C04083</t>
  </si>
  <si>
    <t>TRỊNH NHỰT HOÀNG</t>
  </si>
  <si>
    <t>NGUYỄN THỊ KIM NGÂN</t>
  </si>
  <si>
    <t>NGUYỄN VĂN THÀNH</t>
  </si>
  <si>
    <t>ĐOÀN VĂN CƯƠNG</t>
  </si>
  <si>
    <t>2C03080</t>
  </si>
  <si>
    <t>HÀ PHÚ SANG</t>
  </si>
  <si>
    <t>Xe ô tô con nhãn hiệu Vinfast VF3(xe điện) 94KL04; 4 chỗ ngồi, tay lái thuận, mới 100%;   Màu Xanh Lá Nhạt; SK:RLNVBL9K7ST716429 -  SM:TZ160X30G25112700525. Số Serial PIN: X33051251213K00157</t>
  </si>
  <si>
    <t>RLNVBL9K7ST716429</t>
  </si>
  <si>
    <t>2C04348</t>
  </si>
  <si>
    <t>ĐỖ THÀNH CHUNG</t>
  </si>
  <si>
    <t>Xe ô tô con Vinfast VF5 Plus(xe điện) S5EJ01; 5 chỗ ngồi; tay lái thuận, mới 100%;   MÀU XANH LÁ NHẠT; SK:RLNV5JSE7SH886194 -  SM:VFCAFB25C170115. Số Serial PIN: Z50066251123DGR078</t>
  </si>
  <si>
    <t>2C02748</t>
  </si>
  <si>
    <t>CÔNG TY TNHH GAS SAO MAI</t>
  </si>
  <si>
    <t>2C04517</t>
  </si>
  <si>
    <t>TRƯƠNG THỊ CẨM HỒNG</t>
  </si>
  <si>
    <t>Xe ô tô con Vinfast VF5 Plus(xe điện) S5EJ01; 5 chỗ ngồi; tay lái thuận, mới 100%;   MÀU TRẮNG; SK:RLNV5JSE3TH702757 -  SM:VFCAFB25C270329. Số Serial PIN: Z50066251217DGR027</t>
  </si>
  <si>
    <t>BÁO CÁO LỢI NHUẬN TỪNG DÒNG XE - THÁNG 3/2026</t>
  </si>
  <si>
    <t>STT</t>
  </si>
  <si>
    <t>Tên khách hàng</t>
  </si>
  <si>
    <t>Loại xe</t>
  </si>
  <si>
    <t>Số khung</t>
  </si>
  <si>
    <t>SR</t>
  </si>
  <si>
    <t>Số lượng</t>
  </si>
  <si>
    <t>Doanh thu</t>
  </si>
  <si>
    <t>Điều chỉnh DT</t>
  </si>
  <si>
    <t>Giá vốn</t>
  </si>
  <si>
    <t>CKNM</t>
  </si>
  <si>
    <t>Lương năng suất</t>
  </si>
  <si>
    <t>Chi phí BH</t>
  </si>
  <si>
    <t>Chi phí phụ kiện</t>
  </si>
  <si>
    <t>Lợi nhuận còn lại</t>
  </si>
  <si>
    <t>TVBH</t>
  </si>
  <si>
    <t>VF8 Plus</t>
  </si>
  <si>
    <t>VF7 Plus</t>
  </si>
  <si>
    <t>LIMO GREEN</t>
  </si>
  <si>
    <t>VF MPV 7</t>
  </si>
  <si>
    <t>VF3</t>
  </si>
  <si>
    <t>VF3 Eco</t>
  </si>
  <si>
    <t>VF3 Plus</t>
  </si>
  <si>
    <t>MINIO GREEN</t>
  </si>
  <si>
    <t>EC VAN</t>
  </si>
  <si>
    <t>Giá niêm yết</t>
  </si>
  <si>
    <t>THÁNG</t>
  </si>
  <si>
    <t>CHI NHÁNH</t>
  </si>
  <si>
    <t>Tư vấn bán hàng</t>
  </si>
  <si>
    <t>Tên KH trên HĐ
 (nếu là Cty có thêm tên đầy đủ của người đại diện)</t>
  </si>
  <si>
    <t>Mã đơn hàng trên DMS</t>
  </si>
  <si>
    <t>Phiên bản</t>
  </si>
  <si>
    <t>Màu ngoại thất</t>
  </si>
  <si>
    <t>Mã loại</t>
  </si>
  <si>
    <t>Điểm bán</t>
  </si>
  <si>
    <t>Ngày VF XHĐ bán sỉ cho NPP</t>
  </si>
  <si>
    <t>Ngày xuất hoá đơn cho KH</t>
  </si>
  <si>
    <t>MLTTV (6%)</t>
  </si>
  <si>
    <t>Hỗ trợ lãi suất 7%</t>
  </si>
  <si>
    <t>Vinclub</t>
  </si>
  <si>
    <t>Thu xăng/ Vin giảm TM</t>
  </si>
  <si>
    <t>CBNV/LLVT</t>
  </si>
  <si>
    <t>Chính sách VF trừ vào giá</t>
  </si>
  <si>
    <t>VFX giảm thêm TM</t>
  </si>
  <si>
    <t>Giá xuất hoá đơn</t>
  </si>
  <si>
    <t>Giá NPP xuất cho KH</t>
  </si>
  <si>
    <t>Chênh lệch</t>
  </si>
  <si>
    <t>Giá DMS</t>
  </si>
  <si>
    <t>Giá VF xuất hóa đơn bán sỉ cho NPP</t>
  </si>
  <si>
    <t>Ngày NPP xuất hóa đơn bán lẻ</t>
  </si>
  <si>
    <t>Chiết khấu cơ bản</t>
  </si>
  <si>
    <t>Thu xăng</t>
  </si>
  <si>
    <t>Mở mới</t>
  </si>
  <si>
    <t>Thưởng 3% CK Cơ bản VF3 KV Nông thôn</t>
  </si>
  <si>
    <t>Total CK</t>
  </si>
  <si>
    <t>CBNV</t>
  </si>
  <si>
    <t>LLVT</t>
  </si>
  <si>
    <t>Chênh lệch mua sĩ</t>
  </si>
  <si>
    <t>cọc tiên phong</t>
  </si>
  <si>
    <t>Quy đổi tiền mặt</t>
  </si>
  <si>
    <t>Số tiền VF TT lại cho NPP</t>
  </si>
  <si>
    <t>DMS</t>
  </si>
  <si>
    <t>Xuất HĐ</t>
  </si>
  <si>
    <t>Thay đổi T1.2026</t>
  </si>
  <si>
    <t>Số sau VAT</t>
  </si>
  <si>
    <t>Bảo hiểm + màu nâng cao</t>
  </si>
  <si>
    <t>LONG AN</t>
  </si>
  <si>
    <t>Nguyễn Hoàng Trọng Khang</t>
  </si>
  <si>
    <t>VF3.4</t>
  </si>
  <si>
    <t>S11006</t>
  </si>
  <si>
    <t>SALA</t>
  </si>
  <si>
    <t>PLUS</t>
  </si>
  <si>
    <t>VF3.5</t>
  </si>
  <si>
    <t>S11007</t>
  </si>
  <si>
    <t>VF3.3</t>
  </si>
  <si>
    <t>HUỲNH VĂN BẢO</t>
  </si>
  <si>
    <t>VF5</t>
  </si>
  <si>
    <t>VF5.2</t>
  </si>
  <si>
    <t>BẾN LỨC</t>
  </si>
  <si>
    <t>Hoàng Ngọc Tú</t>
  </si>
  <si>
    <t>Limo Green</t>
  </si>
  <si>
    <t>RLLVFPNT8SH874882</t>
  </si>
  <si>
    <t>Trần Anh Vũ</t>
  </si>
  <si>
    <t>MPV 7</t>
  </si>
  <si>
    <t>Trần Minh Hiếu</t>
  </si>
  <si>
    <t>VF5.1</t>
  </si>
  <si>
    <t>S11001</t>
  </si>
  <si>
    <t>VF3.6</t>
  </si>
  <si>
    <t>QUANG TRUNG</t>
  </si>
  <si>
    <t>S11008</t>
  </si>
  <si>
    <t>TRẦN ANH HOÀNG</t>
  </si>
  <si>
    <t>EC Van</t>
  </si>
  <si>
    <t>EC.1</t>
  </si>
  <si>
    <t>Minio Green</t>
  </si>
  <si>
    <t>NGUYỄN VĂN VĨNH</t>
  </si>
  <si>
    <t>TRẦN MINH HIẾU</t>
  </si>
  <si>
    <t>TC2</t>
  </si>
  <si>
    <t>VÕ VĂN KIÊN</t>
  </si>
  <si>
    <t>Bùi Minh Trung</t>
  </si>
  <si>
    <t>Trần Thanh Hoài</t>
  </si>
  <si>
    <t>ECO</t>
  </si>
  <si>
    <t>Trương Hoàng Khả</t>
  </si>
  <si>
    <t>Nguyễn Phước Huy</t>
  </si>
  <si>
    <t>Bùi Văn Quốc Trí</t>
  </si>
  <si>
    <t>THỦ ĐỨC</t>
  </si>
  <si>
    <t>Vũ Đức Danh</t>
  </si>
  <si>
    <t>Plus</t>
  </si>
  <si>
    <t>Phạm Huy Cường</t>
  </si>
  <si>
    <t>Phạm Nguyễn Hằng Ni</t>
  </si>
  <si>
    <t>Nguyễn Bá Thản</t>
  </si>
  <si>
    <t>Nguyễn Minh Trí</t>
  </si>
  <si>
    <t>Vòng Tạt Lình</t>
  </si>
  <si>
    <t>Võ Hoài Nhật</t>
  </si>
  <si>
    <t>CHÂU PHẠM THÀNH ĐẠT</t>
  </si>
  <si>
    <t>GREEN</t>
  </si>
  <si>
    <t>NGUYỄN TRUNG HIẾU</t>
  </si>
  <si>
    <t>LIMO</t>
  </si>
  <si>
    <t>PHẠM TRUNG KIÊN</t>
  </si>
  <si>
    <t>NGUYỄN HỮU ĐỨC</t>
  </si>
  <si>
    <t>NGUYỄN TRỌNG HƯNG</t>
  </si>
  <si>
    <t>LÊ MINH ĐỨC</t>
  </si>
  <si>
    <t>VF 3</t>
  </si>
  <si>
    <t>Lê Ngọc Toàn</t>
  </si>
  <si>
    <t>Lê Thị Kiều My</t>
  </si>
  <si>
    <t>Trịnh Trung Tín</t>
  </si>
  <si>
    <t>VF6.1</t>
  </si>
  <si>
    <t>PLUS TC2</t>
  </si>
  <si>
    <t>VF6.4</t>
  </si>
  <si>
    <t>ECO TC2</t>
  </si>
  <si>
    <t>LÊ MINH SANG</t>
  </si>
  <si>
    <t>VF 7</t>
  </si>
  <si>
    <t>PHAN THỊ DIỄM NGA</t>
  </si>
  <si>
    <t>TRẦN GIA HUY</t>
  </si>
  <si>
    <t>VF 5</t>
  </si>
  <si>
    <t>MPV7</t>
  </si>
  <si>
    <t>Bành Thanh Sơn</t>
  </si>
  <si>
    <t>LÊ HOÀNG ANH</t>
  </si>
  <si>
    <t>BÙI XUÂN MINH</t>
  </si>
  <si>
    <t>LIMOGREEN</t>
  </si>
  <si>
    <t>VF 6</t>
  </si>
  <si>
    <t>NÂNG CAO</t>
  </si>
  <si>
    <t>Nguyễn Hữu Thanh Tú</t>
  </si>
  <si>
    <t>Nguyễn Thị Bảo Trân</t>
  </si>
  <si>
    <t>VF8.4</t>
  </si>
  <si>
    <t>RLLVFPNTXTH702483</t>
  </si>
  <si>
    <t>Lê Minh Đức</t>
  </si>
  <si>
    <t>Trần Anh Hoàng</t>
  </si>
  <si>
    <t>HÀ DUY KHANG</t>
  </si>
  <si>
    <t>TRIỆU NGUYỄN TÚ HÀO</t>
  </si>
  <si>
    <t>NGUYỄN VÂN THI</t>
  </si>
  <si>
    <t>Cao Văn Công</t>
  </si>
  <si>
    <t>Trịnh Thị Thu Huyền</t>
  </si>
  <si>
    <t>Vũ Thị Thanh Tuyền</t>
  </si>
  <si>
    <t>Phạm Hoàng Long</t>
  </si>
  <si>
    <t>Nguyễn Trần Quốc Duy</t>
  </si>
  <si>
    <t>Nguyễn Thị Phương Anh</t>
  </si>
  <si>
    <t>Nguyễn Phương Linh</t>
  </si>
  <si>
    <t>Eco</t>
  </si>
  <si>
    <t>VF7.10</t>
  </si>
  <si>
    <t>Nguyễn Văn Bình</t>
  </si>
  <si>
    <t>Phạm Nguyễn Viết Khánh</t>
  </si>
  <si>
    <t>Eco_TC1</t>
  </si>
  <si>
    <t>Nâng Cao</t>
  </si>
  <si>
    <t>Plus_TC2</t>
  </si>
  <si>
    <t>Thạch Thị Ngọc Chuẩn</t>
  </si>
  <si>
    <t>TC1</t>
  </si>
  <si>
    <t>Bùi Duy Luân</t>
  </si>
  <si>
    <t>Võ Thành Nhân</t>
  </si>
  <si>
    <t>Eco_TC2</t>
  </si>
  <si>
    <t>S11007-VSO-26-03-0237</t>
  </si>
  <si>
    <t>Phan Duy Đức</t>
  </si>
  <si>
    <t>MLTTV</t>
  </si>
  <si>
    <t>Hỗ trợ ls</t>
  </si>
  <si>
    <t>CBCNV/LLVT</t>
  </si>
  <si>
    <t>Giờ trái đất</t>
  </si>
  <si>
    <t>VFX giảm</t>
  </si>
  <si>
    <t>Code</t>
  </si>
  <si>
    <t>Có VAT</t>
  </si>
  <si>
    <t>VF giảm thêm (ko gồm GTD)</t>
  </si>
  <si>
    <t>Qui đổi tiền mặt</t>
  </si>
  <si>
    <t>Ngày cọc</t>
  </si>
  <si>
    <t>Ngày CT</t>
  </si>
  <si>
    <t>Số hóa đơn</t>
  </si>
  <si>
    <t>Showroom</t>
  </si>
  <si>
    <t>Tên NVBH</t>
  </si>
  <si>
    <t>TÊN LEADER</t>
  </si>
  <si>
    <t>Địa chỉ</t>
  </si>
  <si>
    <t>Thành phố/Tỉnh</t>
  </si>
  <si>
    <t>PHIÊN BẢN</t>
  </si>
  <si>
    <t>Màu</t>
  </si>
  <si>
    <t>SK</t>
  </si>
  <si>
    <t>Số tiền giảm</t>
  </si>
  <si>
    <t>GIÁ BÁN XE THỰC TẾ (bao gồm VAT)</t>
  </si>
  <si>
    <t>Giá vốn xe</t>
  </si>
  <si>
    <t>Chi phí Bảo hiểm KH mua</t>
  </si>
  <si>
    <t>Chi phí Bảo hiểm tặng</t>
  </si>
  <si>
    <t>Chi phí Phụ kiện mua</t>
  </si>
  <si>
    <t>Chi phí Phụ kiện tặng</t>
  </si>
  <si>
    <t>Tổng chi phí giảm</t>
  </si>
  <si>
    <t>Tổng chi phí giảm theo CSBH</t>
  </si>
  <si>
    <t>Tổng chi phí giảm trừ HH</t>
  </si>
  <si>
    <t>Chi phí giảm vượt khung</t>
  </si>
  <si>
    <t>Chênh lệch Bảo hiểm Xe KD &amp; Xe Không KD</t>
  </si>
  <si>
    <t>Trừ BH Tặng Xe KD</t>
  </si>
  <si>
    <t>Doanh thu (Không tính VAT)</t>
  </si>
  <si>
    <t>Doanh thu tính thưởng</t>
  </si>
  <si>
    <t>Tình trạng</t>
  </si>
  <si>
    <t>Loại KH</t>
  </si>
  <si>
    <t>Mức thưởng</t>
  </si>
  <si>
    <t>Thưởng/Xe (Khác VF3 + VF5_Chưa tính KPI)</t>
  </si>
  <si>
    <t>Thưởng/Xe (VF3 + VF5_Chưa tính KPI)</t>
  </si>
  <si>
    <t>Tổng Thưởng/Xe</t>
  </si>
  <si>
    <t>Showroom Bến Lức</t>
  </si>
  <si>
    <t>Nguyễn Ngọc Hiếu</t>
  </si>
  <si>
    <t>BẠC</t>
  </si>
  <si>
    <t>KHÔNG</t>
  </si>
  <si>
    <t>Khách hàng thông thường</t>
  </si>
  <si>
    <t>Showroom Tân An</t>
  </si>
  <si>
    <t>Trần Gia Linh</t>
  </si>
  <si>
    <t>VÀNG</t>
  </si>
  <si>
    <t>Showroom Sala</t>
  </si>
  <si>
    <t>TRẮNG</t>
  </si>
  <si>
    <t>XANH LÁ NHẠT</t>
  </si>
  <si>
    <t>Limo MPV 7</t>
  </si>
  <si>
    <t>Showroom 50 Nguyễn Văn Tăng</t>
  </si>
  <si>
    <t>Nguyễn Tường Vy</t>
  </si>
  <si>
    <t>Trắng</t>
  </si>
  <si>
    <t>Nguyễn Đình Trinh</t>
  </si>
  <si>
    <t>Xám</t>
  </si>
  <si>
    <t>Showroom Quang Trung</t>
  </si>
  <si>
    <t>Nguyễn Hoàng Gia Trịnh</t>
  </si>
  <si>
    <t>Phạm Văn Canh</t>
  </si>
  <si>
    <t>ĐEN</t>
  </si>
  <si>
    <t>XÁM XI MĂNG</t>
  </si>
  <si>
    <t>Đen</t>
  </si>
  <si>
    <t>Hồng Phấn</t>
  </si>
  <si>
    <t>Nguyễn ĐÌnh Trinh</t>
  </si>
  <si>
    <t>Khách hàng Khối Quân đội - Công An</t>
  </si>
  <si>
    <t>Bạc</t>
  </si>
  <si>
    <t>Phan Thị Oanh</t>
  </si>
  <si>
    <t>ĐỎ</t>
  </si>
  <si>
    <t>XÁM</t>
  </si>
  <si>
    <t>VF6 Plus</t>
  </si>
  <si>
    <t>Đỏ</t>
  </si>
  <si>
    <t>XANH LÁ</t>
  </si>
  <si>
    <t>Lê Ngọc Đức</t>
  </si>
  <si>
    <t xml:space="preserve">VF6 Eco </t>
  </si>
  <si>
    <t>Xanh Lá Nhạt</t>
  </si>
  <si>
    <t>Nguyễn Thị Ngọc Ánh</t>
  </si>
  <si>
    <t>XANH NÓC TRẮNG</t>
  </si>
  <si>
    <t>TRĂNG</t>
  </si>
  <si>
    <t>Vàng</t>
  </si>
  <si>
    <t>Nguyễn Quốc Diễn</t>
  </si>
  <si>
    <t>Xanh/Trắng</t>
  </si>
  <si>
    <t>HỒNG PHẤN</t>
  </si>
  <si>
    <t>Hỗ trợ mở mới</t>
  </si>
  <si>
    <t>Cọc tiên phong</t>
  </si>
  <si>
    <t xml:space="preserve">MLTTV </t>
  </si>
  <si>
    <t>VF8,9 10%</t>
  </si>
  <si>
    <t>lương năng suất của tháng 3( trích trước qua 3348)</t>
  </si>
  <si>
    <t>kiểm tra xem đã trích phí chưa ( hóa đơn đã ghi nhận rồi thì ko trích trước nữa)</t>
  </si>
  <si>
    <t>kiểm tra xem đã trích phí chưa ( hđơn đã ghi nhận rồi thì ko trích trước nữa)</t>
  </si>
  <si>
    <t>hàng tháng ngày 15 xem bảng lương, reverse lại phần lương năng suất của tháng trước đã trích dựa vào bảng này</t>
  </si>
  <si>
    <t>marketing dựa vào bảng marketing</t>
  </si>
  <si>
    <t>CPQT</t>
  </si>
  <si>
    <t>vin xuất giảm dthu</t>
  </si>
  <si>
    <t>KHẢ NĂNG MÌNH PHẢI XUẤT HĐƠN</t>
  </si>
  <si>
    <t>NỢ 3387, CÓ 632</t>
  </si>
  <si>
    <t>Tổng Thưởng/Xe (Tỷ lệ hoàn thành)</t>
  </si>
  <si>
    <t>Phiếu Thu giờ trái Đất</t>
  </si>
  <si>
    <t>Claim Phiếu Thu giờ trái Đất</t>
  </si>
  <si>
    <t>Tổng tiền cấn trừ</t>
  </si>
  <si>
    <t>Tỷ lệ</t>
  </si>
  <si>
    <t>Thưởng bổ sung</t>
  </si>
  <si>
    <t>Bảo hiểm</t>
  </si>
  <si>
    <t>Phụ kiện</t>
  </si>
  <si>
    <t>Chi phí môi giới</t>
  </si>
  <si>
    <t>Giảm trừ lương</t>
  </si>
  <si>
    <t>Bán phụ kiện</t>
  </si>
  <si>
    <t>Bán bảo hiểm</t>
  </si>
  <si>
    <t>Lý giải chênh lệch</t>
  </si>
  <si>
    <t xml:space="preserve">Mở mới </t>
  </si>
  <si>
    <t>HOÀNG ANH VŨ</t>
  </si>
  <si>
    <t>S11006-VSO-26-04-0001</t>
  </si>
  <si>
    <t>RLLVAG8C8TH712424</t>
  </si>
  <si>
    <t>VCX PVI SÔNG TIỀN</t>
  </si>
  <si>
    <t>VF7.1</t>
  </si>
  <si>
    <t>VF 8</t>
  </si>
  <si>
    <t>VF 9</t>
  </si>
  <si>
    <t>VF9.2</t>
  </si>
  <si>
    <t>EC.3</t>
  </si>
  <si>
    <t>TỪ NỮ BÉ MI</t>
  </si>
  <si>
    <t>HUỲNH HOÀNG CHÂU</t>
  </si>
  <si>
    <t>S11001-VSO-26-04-0004</t>
  </si>
  <si>
    <t>VF9.1</t>
  </si>
  <si>
    <t>RLLV2CVA6SH843519</t>
  </si>
  <si>
    <t>NGUYỄN VIỆT HÙNG</t>
  </si>
  <si>
    <t>S11007-VSO-26-04-0002</t>
  </si>
  <si>
    <t>RLNVBL9K1ST716572</t>
  </si>
  <si>
    <t>HUỲNH MINH HẢI</t>
  </si>
  <si>
    <t>S11001-VSO-26-03-0052</t>
  </si>
  <si>
    <t>RLNV5JSE4TH713606</t>
  </si>
  <si>
    <t>CÓ TẶNG</t>
  </si>
  <si>
    <t>BÙI NHỰT THƠ</t>
  </si>
  <si>
    <t>S11001-VSO-26-03-0061</t>
  </si>
  <si>
    <t>RLLVAG8C4TH732735</t>
  </si>
  <si>
    <t>PHẠM THỊ KIM DUNG</t>
  </si>
  <si>
    <t>NGUYỄN THỊ KIỀU LOAN</t>
  </si>
  <si>
    <t>S11006-VSO-26-04-0010</t>
  </si>
  <si>
    <t>RLLVAG8CXTH719133</t>
  </si>
  <si>
    <t>KH MUA VCX</t>
  </si>
  <si>
    <t>HUỲNH QUỐC HUY</t>
  </si>
  <si>
    <t>DƯƠNG THỂ PHƯỢNG</t>
  </si>
  <si>
    <t>S11007-VSO-26-04-0014</t>
  </si>
  <si>
    <t>RLNV5JSE2TH732400</t>
  </si>
  <si>
    <t>NGUYỄN THỊ THANH HẰNG</t>
  </si>
  <si>
    <t>S11008-VSO-26-04-0005</t>
  </si>
  <si>
    <t>BASE_TC2</t>
  </si>
  <si>
    <t>RLNVBL9K9ST709725</t>
  </si>
  <si>
    <t>0,00%</t>
  </si>
  <si>
    <t>KH XĂNG ĐIỆN</t>
  </si>
  <si>
    <t>Tổ 3, Ông Trịnh, phường Tân Phước, TP HCM</t>
  </si>
  <si>
    <t>CÔNG TY CỔ PHẦN CÔNG NGHỆ HƯNG THÀNH ĐẠT</t>
  </si>
  <si>
    <t>S11007-VSO-26-03-0150</t>
  </si>
  <si>
    <t>RNXVGRPK3TT702498</t>
  </si>
  <si>
    <t>PHAN QUỐC DUY</t>
  </si>
  <si>
    <t>S11006-VSO-26-04-0016</t>
  </si>
  <si>
    <t>RLNV5JSE6TH714191</t>
  </si>
  <si>
    <t>VCX  PJICO</t>
  </si>
  <si>
    <t>PHẠM NGUYỄN THANH LIÊM</t>
  </si>
  <si>
    <t>S11006-VSO-26-03-0008</t>
  </si>
  <si>
    <t>PLUS US</t>
  </si>
  <si>
    <t>VF8.5</t>
  </si>
  <si>
    <t>RLLV1AUA2TH997462</t>
  </si>
  <si>
    <t>KHÁCH  MUA</t>
  </si>
  <si>
    <t>BÁN CAMERA HT: 2.008.000</t>
  </si>
  <si>
    <t>VÕ LÊ NGÂN</t>
  </si>
  <si>
    <t>S11006-VSO-26-03-0061</t>
  </si>
  <si>
    <t>RLNVMNMS7ST700177</t>
  </si>
  <si>
    <t>CÔNG TY TNHH PEACE - LON VIETNAM</t>
  </si>
  <si>
    <t>S11001-VSO-26-04-0006</t>
  </si>
  <si>
    <t>RLLVFPTT0TH733714</t>
  </si>
  <si>
    <t>KHÁCH  MUA
BỘ SẠC 11.781.818</t>
  </si>
  <si>
    <t>TRƯƠNG MINH KHANG</t>
  </si>
  <si>
    <t>S11006-VSO-26-04-0003</t>
  </si>
  <si>
    <t>RLNVBL9K4TT707902</t>
  </si>
  <si>
    <t>TÔ VĂN PHONG</t>
  </si>
  <si>
    <t>S11006-VSO-26-03-0102</t>
  </si>
  <si>
    <t>RLLVFPNT5TH707865</t>
  </si>
  <si>
    <t>KD TẶNG BH KHÁCH HÀNG</t>
  </si>
  <si>
    <t>Phan Thị Ngọc Ánh</t>
  </si>
  <si>
    <t>S11007-VSO-26-03-0169</t>
  </si>
  <si>
    <t>RLNVBL9K2TT711527</t>
  </si>
  <si>
    <t>Nguyễn Dương Nhật Trường</t>
  </si>
  <si>
    <t>S11007-VSO-26-03-0187</t>
  </si>
  <si>
    <t>RLLVAG8C9TH736604</t>
  </si>
  <si>
    <t>Lý Thanh Hoàng</t>
  </si>
  <si>
    <t>S11007-VSO-26-03-0170</t>
  </si>
  <si>
    <t>RLLVFPNT3TH707749</t>
  </si>
  <si>
    <t xml:space="preserve">VCX DBV </t>
  </si>
  <si>
    <t>Ngô Tiến Hoàng</t>
  </si>
  <si>
    <t>S11007-VSO-26-03-0221</t>
  </si>
  <si>
    <t>RLNVBL9K1ST717561</t>
  </si>
  <si>
    <t>Nguyễn Thanh Long</t>
  </si>
  <si>
    <t>S11007-VSO-26-03-0204</t>
  </si>
  <si>
    <t>RLNVBL9K9TT711878</t>
  </si>
  <si>
    <t>Vũ Anh Quang</t>
  </si>
  <si>
    <t>S11007-VSO-26-03-0097</t>
  </si>
  <si>
    <t>VF7.13</t>
  </si>
  <si>
    <t>RLLV3F5D6TH714321</t>
  </si>
  <si>
    <t>TNDS+ VCX TASCO</t>
  </si>
  <si>
    <t>HOÀNG CẨM THƠ</t>
  </si>
  <si>
    <t>S11001-VSO-26-04-0014</t>
  </si>
  <si>
    <t>RLLVFPTT1TH722897</t>
  </si>
  <si>
    <t>VCX DBV SÔNG TIỀN</t>
  </si>
  <si>
    <t>NGUYỄN HỮU ANH TIẾN</t>
  </si>
  <si>
    <t>S11006-VSO-26-04-0012</t>
  </si>
  <si>
    <t>VF3.1</t>
  </si>
  <si>
    <t>RLNVBL9K9ST706159</t>
  </si>
  <si>
    <t>KHÁCH  MUA
CAMERA LÙI</t>
  </si>
  <si>
    <t>TRẦN TRUNG HIẾU</t>
  </si>
  <si>
    <t>S11001-VSO-26-04-0012</t>
  </si>
  <si>
    <t>RLNV5JSEXTH736419</t>
  </si>
  <si>
    <t>VÕ TRẦN LĨNH</t>
  </si>
  <si>
    <t>S11001-VSO-26-03-0024</t>
  </si>
  <si>
    <t>RLNVBL9K3TT711956</t>
  </si>
  <si>
    <t>NGUYỄN NGOC HUY</t>
  </si>
  <si>
    <t>S11007-VSO-26-04-0023</t>
  </si>
  <si>
    <t>RLLVFPNT4TH703161</t>
  </si>
  <si>
    <t xml:space="preserve">TNDS+ VCX DBV </t>
  </si>
  <si>
    <t>NGUYỄN THANH TUẤN</t>
  </si>
  <si>
    <t>S11007-VSO-26-03-0227</t>
  </si>
  <si>
    <t>RLLVAG8CXTH737325</t>
  </si>
  <si>
    <t xml:space="preserve">NGUYỄN VĂN VĨNH </t>
  </si>
  <si>
    <t>VÒNG NGỌC UYÊN</t>
  </si>
  <si>
    <t>S11007-VSO-26-03-0083</t>
  </si>
  <si>
    <t>RLLVFPNTXTH743647</t>
  </si>
  <si>
    <t>VCX DBV</t>
  </si>
  <si>
    <t>CÔNG TY TNHH XNK GIAO NHẠN VẬN TẢI QUỐC BẢO</t>
  </si>
  <si>
    <t>S11007-VSO-26-03-0159</t>
  </si>
  <si>
    <t>RLNV5JSEXTH735738</t>
  </si>
  <si>
    <t>NGUYỄN THỊ HỒNG XUYẾN</t>
  </si>
  <si>
    <t>S11008-VSO-26-04-0009</t>
  </si>
  <si>
    <t>RLNVBL9KXST716957</t>
  </si>
  <si>
    <t>PHAN THANH SƠN</t>
  </si>
  <si>
    <t>S11001-VSO-26-04-0011</t>
  </si>
  <si>
    <t>RLNVBL9K5TT712767</t>
  </si>
  <si>
    <t>GIANG VĂN LUÂN</t>
  </si>
  <si>
    <t>S11001-VSO-26-04-0005</t>
  </si>
  <si>
    <t>RLLVFPTT4TH724210</t>
  </si>
  <si>
    <t>S11001-VSO-26-04-0010</t>
  </si>
  <si>
    <t>RLLVAG8C6TH736561</t>
  </si>
  <si>
    <t>Phạm Anh Kiệt</t>
  </si>
  <si>
    <t>NGUYỄN DUY THUẦN</t>
  </si>
  <si>
    <t>S11001-VSO-26-04-0017</t>
  </si>
  <si>
    <t>RLNVBL9K3ST715634</t>
  </si>
  <si>
    <t>CÓ MUA</t>
  </si>
  <si>
    <t>TRÂN THỊ THU HƯỜNG</t>
  </si>
  <si>
    <t>S11001-VSO-26-04-0018</t>
  </si>
  <si>
    <t>RLNVBL9K1TT701426</t>
  </si>
  <si>
    <t>ĐỖ VIẾT VŨ</t>
  </si>
  <si>
    <t>S11007-VSO-26-03-0128</t>
  </si>
  <si>
    <t>RLLVFPNTXTH742384</t>
  </si>
  <si>
    <t>TRẦN ĐẶNG ANH HUY</t>
  </si>
  <si>
    <t>HUỲNH NGỌC BẢO</t>
  </si>
  <si>
    <t>S11007-VSO-26-03-0088</t>
  </si>
  <si>
    <t>RNXVGRPK4TT712487</t>
  </si>
  <si>
    <t>NGUYỄN HUỲNH DUY KHAN</t>
  </si>
  <si>
    <t>NGUYỄN VĂN THANH</t>
  </si>
  <si>
    <t>S11007-VSO-26-03-0287</t>
  </si>
  <si>
    <t>RLLVFPNT0TH720314</t>
  </si>
  <si>
    <t>VCX MUA PVI ĐỒNG THÁP</t>
  </si>
  <si>
    <t>VŨ THỊ BÍCH HẰNG</t>
  </si>
  <si>
    <t>NGUYỄN THANH NỮ TRÀ MY</t>
  </si>
  <si>
    <t>S11001-VSO-26-04-0015</t>
  </si>
  <si>
    <t>ECO_hud</t>
  </si>
  <si>
    <t>RLLV3F5D1SH888618</t>
  </si>
  <si>
    <t>TRẦN THANH TÂN</t>
  </si>
  <si>
    <t>S11007-VSO-26-04-0026</t>
  </si>
  <si>
    <t>PLUS_TC2_1 CẦU_trần thép</t>
  </si>
  <si>
    <t>RLLV3FKC6TH742051</t>
  </si>
  <si>
    <t>TNDS+VCX MIC TIỀN GIANG</t>
  </si>
  <si>
    <t>S11006-VSO-26-04-0025</t>
  </si>
  <si>
    <t>RLLVFPTT1TH733771</t>
  </si>
  <si>
    <t>Nguyễn Thị Diễm Mi</t>
  </si>
  <si>
    <t>S11007-VSO-26-03-0233</t>
  </si>
  <si>
    <t>RLNV5JSE1TH739581</t>
  </si>
  <si>
    <t>Đỗ Thị Hương</t>
  </si>
  <si>
    <t>S11006-VSO-26-04-0018</t>
  </si>
  <si>
    <t>KH MUA- ĐÃ THANH TOÁN</t>
  </si>
  <si>
    <t>Nguyễn Văn Năm</t>
  </si>
  <si>
    <t>S11008-VSO-26-04-0006</t>
  </si>
  <si>
    <t>RLNVBL9K3ST715763</t>
  </si>
  <si>
    <t>Trương Hoàng Danh</t>
  </si>
  <si>
    <t>S11007-VSO-26-04-0009</t>
  </si>
  <si>
    <t>RNXVGRPK6TT702527</t>
  </si>
  <si>
    <t>VCX MIC DSG</t>
  </si>
  <si>
    <t>Nguyễn Trần Khánh</t>
  </si>
  <si>
    <t>S11007-VSO-26-03-0201</t>
  </si>
  <si>
    <t>RLNV5JSE6TH736286</t>
  </si>
  <si>
    <t xml:space="preserve">VCX  DBV </t>
  </si>
  <si>
    <t>Trịnh Kim Thôi</t>
  </si>
  <si>
    <t>S11007-VSO-26-04-0005</t>
  </si>
  <si>
    <t>RLLVFPNTXTH701821</t>
  </si>
  <si>
    <t>KH MUA TNDS+ VCX</t>
  </si>
  <si>
    <t>Võ Thị Cẩm Vân</t>
  </si>
  <si>
    <t>S11007-VSO-26-04-0018</t>
  </si>
  <si>
    <t>RLLVFPTT4TH731965</t>
  </si>
  <si>
    <t xml:space="preserve">TNDS+ VCX TASCO </t>
  </si>
  <si>
    <t>Nguyễn Xuân Thủy</t>
  </si>
  <si>
    <t>S11007-VSO-26-03-0241</t>
  </si>
  <si>
    <t>RLLVFPNT4TH742347</t>
  </si>
  <si>
    <t>Nguyễn Đăng Khoa</t>
  </si>
  <si>
    <t>S11007-VSO-26-03-0229</t>
  </si>
  <si>
    <t>RLNVBL9K2TT711981</t>
  </si>
  <si>
    <t>Vũ Thanh Minh</t>
  </si>
  <si>
    <t>S11007-VSO-26-03-0166</t>
  </si>
  <si>
    <t>RLNVBL9KXTT708326</t>
  </si>
  <si>
    <t>KH MUA VCX, ĐÃ TT</t>
  </si>
  <si>
    <t>Nguyễn Ngọc Giáp</t>
  </si>
  <si>
    <t>S11007-VSO-26-03-0171</t>
  </si>
  <si>
    <t>RLNV5JSEXTH735951</t>
  </si>
  <si>
    <t>Hoàng Tiến Bình</t>
  </si>
  <si>
    <t>S11007-VSO-26-03-0297</t>
  </si>
  <si>
    <t>RLLVFPNT7TH713005</t>
  </si>
  <si>
    <t>KH MUA VCX+TNDS ĐÃ TT</t>
  </si>
  <si>
    <t>Nguyễn Thị Bích Thủy</t>
  </si>
  <si>
    <t>S11007-VSO-26-03-0216</t>
  </si>
  <si>
    <t>RLNVBL9K8TT710186</t>
  </si>
  <si>
    <t>Nguyễn Thúy Hồng Nguyên</t>
  </si>
  <si>
    <t>S11007-VSO-26-04-0049</t>
  </si>
  <si>
    <t>RLNVBL9K9TT713372</t>
  </si>
  <si>
    <t>VCX TASCO</t>
  </si>
  <si>
    <t>Nguyễn Ngọc Phượng</t>
  </si>
  <si>
    <t>S11007-VSO-26-04-0022</t>
  </si>
  <si>
    <t>RLLVFPNT3TH742839</t>
  </si>
  <si>
    <t>VCX MUA PJICO- TIỀN GIANG</t>
  </si>
  <si>
    <t>Nguyễn Duy Ngọc Quỳnh</t>
  </si>
  <si>
    <t>S11007-VSO-26-04-0030</t>
  </si>
  <si>
    <t>RLLVFPNT7TH712291</t>
  </si>
  <si>
    <t>Phạm Thị Thanh Vân</t>
  </si>
  <si>
    <t>S11007-VSO-26-04-0033</t>
  </si>
  <si>
    <t>RLLVFPNT2TH747241</t>
  </si>
  <si>
    <t>Công ty Cổ Phần Phân Phối Sản Phẩm Công Nghệ Cao Dầu Khí</t>
  </si>
  <si>
    <t>S11007-VSO-26-03-0143</t>
  </si>
  <si>
    <t>RLNVBL9K3TT711875</t>
  </si>
  <si>
    <t>S11007-VSO-26-03-0144</t>
  </si>
  <si>
    <t>RLNVBL9K2TT709020</t>
  </si>
  <si>
    <t>S11007-VSO-26-03-0145</t>
  </si>
  <si>
    <t>RLNVBL9K1TT712118</t>
  </si>
  <si>
    <t>Lương Thị Hương</t>
  </si>
  <si>
    <t>S11007-VSO-26-04-0021</t>
  </si>
  <si>
    <t>RLLVFPTT8TH733752</t>
  </si>
  <si>
    <t>BẠCH THỊ TUYẾT</t>
  </si>
  <si>
    <t>S11001-VSO-26-03-0050</t>
  </si>
  <si>
    <t>RLNV5JSE7TH736376</t>
  </si>
  <si>
    <t>ĐỖ MINH THÀNH</t>
  </si>
  <si>
    <t>S11001-VSO-26-04-0022</t>
  </si>
  <si>
    <t>RLNVBL9K3ST715648</t>
  </si>
  <si>
    <t>HỒ KIM LONG SƠN</t>
  </si>
  <si>
    <t>S11006-VSO-26-04-0030</t>
  </si>
  <si>
    <t>RLNVBL9K5TT713711</t>
  </si>
  <si>
    <t>NGUYỄN THỊ TRÚC GIANG</t>
  </si>
  <si>
    <t>S11001-VSO-26-04-0016</t>
  </si>
  <si>
    <t>RLNVBL9K8TT713430</t>
  </si>
  <si>
    <t>HUỲNH THANH TÀI</t>
  </si>
  <si>
    <t>NGUYỄN TẤN THI</t>
  </si>
  <si>
    <t>S11007-VSO-26-04-0050</t>
  </si>
  <si>
    <t>RLLVFPNT4TH711292</t>
  </si>
  <si>
    <t xml:space="preserve">VCX PVI ĐỒNG THÁP </t>
  </si>
  <si>
    <t>PHÙNG BÁ AN</t>
  </si>
  <si>
    <t>ĐÀO THỊ TUYẾN</t>
  </si>
  <si>
    <t>S11007-VSO-26-04-0037</t>
  </si>
  <si>
    <t>RLLVFPNT6TH714839</t>
  </si>
  <si>
    <t>NGUYỄN VĂN TRƯỜNG</t>
  </si>
  <si>
    <t>S11007-VSO-26-04-0061</t>
  </si>
  <si>
    <t>RLNVBL9K4TT713277</t>
  </si>
  <si>
    <t>TRẦN THỊ KIM THẢO</t>
  </si>
  <si>
    <t>S11006-VSO-26-04-0027</t>
  </si>
  <si>
    <t>RLLVFPTT6TH732633</t>
  </si>
  <si>
    <t>NGUYỄN TƯỜNG VY</t>
  </si>
  <si>
    <t>S11007-VSO-26-04-0064</t>
  </si>
  <si>
    <t>RLNVBL9K3TT714159</t>
  </si>
  <si>
    <t>ĐỖ THỊ LAN CHI</t>
  </si>
  <si>
    <t>S11007-VSO-26-03-0234</t>
  </si>
  <si>
    <t>RLLVFPTT6TH731935</t>
  </si>
  <si>
    <t>Trần Thị Thu Anh</t>
  </si>
  <si>
    <t>S11007-VSO-26-03-0283</t>
  </si>
  <si>
    <t>RLLVFPNT1TH743021</t>
  </si>
  <si>
    <t>BH MUA -DBV  VCX</t>
  </si>
  <si>
    <t>Điền Đức Nhật</t>
  </si>
  <si>
    <t>Nguyễn Thị Hồng Linh</t>
  </si>
  <si>
    <t>S11007-VSO-26-03-0151</t>
  </si>
  <si>
    <t>Eco_TC2_Có HUB</t>
  </si>
  <si>
    <t>RLLV3F5D3TH727463</t>
  </si>
  <si>
    <t>VCX PJICO</t>
  </si>
  <si>
    <t>Lê Thị Mỹ Linh</t>
  </si>
  <si>
    <t>S11007-VSO-26-04-0063</t>
  </si>
  <si>
    <t>VF6.5</t>
  </si>
  <si>
    <t>RLLVAGND3TH707970</t>
  </si>
  <si>
    <t>Phạm Huy Quỳnh Giao</t>
  </si>
  <si>
    <t>S11007-VSO-26-04-0055</t>
  </si>
  <si>
    <t>RLNVBL9K7TT712611</t>
  </si>
  <si>
    <t>Nguyễn Thị Minh Phương</t>
  </si>
  <si>
    <t>S11007-VSO-26-03-0020</t>
  </si>
  <si>
    <t>RLLVAG8C6TH728220</t>
  </si>
  <si>
    <t>Công ty TNHH Thương Mại Dịch Vụ Link VN</t>
  </si>
  <si>
    <t>S11006-VSO-26-04-0023</t>
  </si>
  <si>
    <t>RLNVBL9K1ST715437</t>
  </si>
  <si>
    <t>S11007-VSO-26-04-0016</t>
  </si>
  <si>
    <t>RLNVBL9KXST716134</t>
  </si>
  <si>
    <t>Công ty TNHH TMDV Vận tải Kim Phát</t>
  </si>
  <si>
    <t>S11007-VSO-26-03-0106</t>
  </si>
  <si>
    <t>RLLVAG8C9TH741687</t>
  </si>
  <si>
    <t>Nguyễn Minh Nghĩa</t>
  </si>
  <si>
    <t>S11007-VSO-26-03-0217</t>
  </si>
  <si>
    <t>RLNV5JSE3TH739565</t>
  </si>
  <si>
    <t>CÔNG TY TNHH TIN HỌC MÁY CHỦ SIÊU RẺ</t>
  </si>
  <si>
    <t>S11006-VSO-26-04-0015</t>
  </si>
  <si>
    <t>RLLV2CFA5TH703199</t>
  </si>
  <si>
    <t>VCX+TNDS MIC TIỀN GIANG</t>
  </si>
  <si>
    <t xml:space="preserve">PHAN THỊ DIỄM NGA </t>
  </si>
  <si>
    <t>TRẦN THỊ THANH PHÚC</t>
  </si>
  <si>
    <t>S11007-VSO-26-03-0230</t>
  </si>
  <si>
    <t>RLLVFPNT1TH747327</t>
  </si>
  <si>
    <t>VCX -PVI ĐỒNG THÁP</t>
  </si>
  <si>
    <t>NGUYỄN HOÀNG DIỆP</t>
  </si>
  <si>
    <t>S11007-VSO-26-04-0024</t>
  </si>
  <si>
    <t>TC 2</t>
  </si>
  <si>
    <t>RLNVBL9K5ST716185</t>
  </si>
  <si>
    <t>TNDS+VCX DBV SÔNG TIỀN</t>
  </si>
  <si>
    <t>HOÀNG DUY ANH</t>
  </si>
  <si>
    <t>S11007-VSO-26-04-0012</t>
  </si>
  <si>
    <t>RLNVBL9K9TT712951</t>
  </si>
  <si>
    <t>PHÙNG ĐỨC VIỆT TÂM</t>
  </si>
  <si>
    <t>S11007-VSO-26-04-0056</t>
  </si>
  <si>
    <t>RLNV5JSE1SH895604</t>
  </si>
  <si>
    <t xml:space="preserve">HUỲNH QUỐC DŨNG </t>
  </si>
  <si>
    <t>S11006-VSO-26-04-0032</t>
  </si>
  <si>
    <t>RLLVFPNTXTH705173</t>
  </si>
  <si>
    <t>BH MUA- BIC CỮU LONG VCX</t>
  </si>
  <si>
    <t>PHẠM NHƯ NGỌC</t>
  </si>
  <si>
    <t>S11001-VSO-26-04-0020</t>
  </si>
  <si>
    <t>RLNVBL9KXTT711856</t>
  </si>
  <si>
    <t>LÊ TẤN SƠN</t>
  </si>
  <si>
    <t>S11006-VSO-26-03-0084</t>
  </si>
  <si>
    <t>RLNVBL9K8TT712018</t>
  </si>
  <si>
    <t>PHẠM DUY CHINH</t>
  </si>
  <si>
    <t>S11006-VSO-26-03-0115</t>
  </si>
  <si>
    <t>RLNVBL9K5ST716641</t>
  </si>
  <si>
    <t>TRẦN MINH THUẬN</t>
  </si>
  <si>
    <t>S11006-VSO-26-04-0019</t>
  </si>
  <si>
    <t>RLNVBL9K6TT710655</t>
  </si>
  <si>
    <t xml:space="preserve">KH GẮN CAM LÙI VINFAST: 
KD TẶNG KHÁCH (Fiml,Camera, thảm Sàn): </t>
  </si>
  <si>
    <t>VÕ HOÀNG THÂN</t>
  </si>
  <si>
    <t>S11006-VSO-26-04-0004</t>
  </si>
  <si>
    <t>RLNV5JSE3TH739954</t>
  </si>
  <si>
    <t>TRẦN VĂN THUẬN</t>
  </si>
  <si>
    <t>S11006-VSO-26-03-0080</t>
  </si>
  <si>
    <t>RLLVFPNT7TH702991</t>
  </si>
  <si>
    <t>ĐỒNG MINH THÔNG</t>
  </si>
  <si>
    <t>S11006-VSO-26-03-0119</t>
  </si>
  <si>
    <t>RLLVFPTT8TH723318</t>
  </si>
  <si>
    <t>HOÀNG NGUYỆT ÁNH</t>
  </si>
  <si>
    <t>S11006-VSO-26-03-0107</t>
  </si>
  <si>
    <t>RLNV5JSE3TH717324</t>
  </si>
  <si>
    <t>NGUYỄN QUỐC NAM</t>
  </si>
  <si>
    <t>S11006-VSO-26-04-0008</t>
  </si>
  <si>
    <t>RLNVBL9K7TT709725</t>
  </si>
  <si>
    <t>NGUYỄN BÌNH PHƯƠNG HOÀNG LUẬN</t>
  </si>
  <si>
    <t>S11006-VSO-26-04-0005</t>
  </si>
  <si>
    <t>RNXVGRPK7TT712466</t>
  </si>
  <si>
    <t>NGUYỄN VĂN TÚ</t>
  </si>
  <si>
    <t>S11006-VSO-26-04-0029</t>
  </si>
  <si>
    <t>PLUS_TC2_AWD</t>
  </si>
  <si>
    <t>VF7.11</t>
  </si>
  <si>
    <t>RLLV3EKBXSH879204</t>
  </si>
  <si>
    <t>Ngô Đăng Khoa</t>
  </si>
  <si>
    <t>NGÔ THỊ XUÂN</t>
  </si>
  <si>
    <t>S11006-VSO-26-03-0055</t>
  </si>
  <si>
    <t>RLNVBL9K7TT711958</t>
  </si>
  <si>
    <t>PHẠM NGỌC HÙNG</t>
  </si>
  <si>
    <t>S11007-VSO-26-03-0157</t>
  </si>
  <si>
    <t>PLSU</t>
  </si>
  <si>
    <t>RLLV2CFA7TH742778</t>
  </si>
  <si>
    <t xml:space="preserve">VÕ VĂN TÀI </t>
  </si>
  <si>
    <t>S11007-VSO-26-03-0193</t>
  </si>
  <si>
    <t>RLLVFPNTXTH742823</t>
  </si>
  <si>
    <t>HỒ HÀO KIỆT</t>
  </si>
  <si>
    <t>S11007-VSO-26-03-0298</t>
  </si>
  <si>
    <t>RLLVFPNT0TH704744</t>
  </si>
  <si>
    <t>VCX DBV- SÔNG TIỀN</t>
  </si>
  <si>
    <t>NGUYỄN VĂN SANG</t>
  </si>
  <si>
    <t>S11007-VSO-26-03-0108</t>
  </si>
  <si>
    <t>RLLVFPNT4TH713186</t>
  </si>
  <si>
    <t>LÊ MAI THÀNH TOÀN</t>
  </si>
  <si>
    <t>S11008-VSO-26-04-0008</t>
  </si>
  <si>
    <t>RLNVBL9K4TT713943</t>
  </si>
  <si>
    <t>LÂM NGỌC TRINH</t>
  </si>
  <si>
    <t>S11007-VSO-26-04-0071</t>
  </si>
  <si>
    <t>RLNVBL9K0TT714135</t>
  </si>
  <si>
    <t>ĐẶNG THỊ THUÝ HẰNG</t>
  </si>
  <si>
    <t>S11008-VSO-26-04-0001</t>
  </si>
  <si>
    <t>RLNVBL9K7TT712916</t>
  </si>
  <si>
    <t>NGUYỄN HẰNG VI</t>
  </si>
  <si>
    <t>S11001-VSO-26-03-0010</t>
  </si>
  <si>
    <t>RLLVFPNT9TH743719</t>
  </si>
  <si>
    <t>LÊ NGUYỄN PHƯƠNG VI</t>
  </si>
  <si>
    <t>S11006-VSO-26-04-0044</t>
  </si>
  <si>
    <t>RLNVBL9K7ST716401</t>
  </si>
  <si>
    <t>LÊ VIỆT HOÀNG</t>
  </si>
  <si>
    <t>S11001-VSO-26-03-0027</t>
  </si>
  <si>
    <t>RLNV5JSE9TH736413</t>
  </si>
  <si>
    <t>S11001-VSO-26-03-0054</t>
  </si>
  <si>
    <t>RLLVFPNT8TH703602</t>
  </si>
  <si>
    <t>NGUYỄN DUY KHANG</t>
  </si>
  <si>
    <t>CTY TNHH TM &amp; DV GIẢI PHÁP TỰ ĐỘNG HÓA LONG AN</t>
  </si>
  <si>
    <t>S11001-VSO-26-04-0024</t>
  </si>
  <si>
    <t>RLLVFPNT8TH742285</t>
  </si>
  <si>
    <t>VCX +TNDS DBV- SÔNG TIỀN</t>
  </si>
  <si>
    <t>HỨA NGUYỄN TRỌNG TOÀN</t>
  </si>
  <si>
    <t>S11007-VSO-26-04-0081</t>
  </si>
  <si>
    <t>RLNV5JSE1TH743467</t>
  </si>
  <si>
    <t>KH MUA VCX, ĐÃ TT 70%</t>
  </si>
  <si>
    <t>NGÔ PHƯƠNG THÙY</t>
  </si>
  <si>
    <t>S11007-VSO-26-03-0291</t>
  </si>
  <si>
    <t>RLNVBL9K9TT716675</t>
  </si>
  <si>
    <t>TỪ NŨ BÉ MI</t>
  </si>
  <si>
    <t>S11007-VSO-26-03-0196</t>
  </si>
  <si>
    <t>PLUS_2 CẦU</t>
  </si>
  <si>
    <t>VF7.9</t>
  </si>
  <si>
    <t>RLLV3EKB2TH748026</t>
  </si>
  <si>
    <t>BH MUA- PJICO TIỀN GIANG</t>
  </si>
  <si>
    <t>NGUYỄN TRUNG THỊNH</t>
  </si>
  <si>
    <t>S11007-VSO-26-04-0073</t>
  </si>
  <si>
    <t>RLNV5JSEXTH743418</t>
  </si>
  <si>
    <t>TTNDS+ VCX MUA PJICO TIỀN GIANG</t>
  </si>
  <si>
    <t>NGUYỄN CÔNG DUY</t>
  </si>
  <si>
    <t>S11007-VSO-26-04-0034</t>
  </si>
  <si>
    <t>RLNVBL9K9TT713467</t>
  </si>
  <si>
    <t>HUỲNH THỊ BÉ GIANG</t>
  </si>
  <si>
    <t>S11001-VSO-26-04-0021</t>
  </si>
  <si>
    <t>RLNVBL9K3TT716168</t>
  </si>
  <si>
    <t>S11001-VSO-26-03-0051</t>
  </si>
  <si>
    <t>RLLVFPNT6TH747484</t>
  </si>
  <si>
    <t>VÕ HÙNG CƯỜNG</t>
  </si>
  <si>
    <t>S11007-VSO-26-04-0072</t>
  </si>
  <si>
    <t>nânG CAO</t>
  </si>
  <si>
    <t>RNXVGRPK1TT710874</t>
  </si>
  <si>
    <t>S11007-VSO-26-04-0065</t>
  </si>
  <si>
    <t>RLLVFPTT8TH733007</t>
  </si>
  <si>
    <t>NGUYỄN VĂN HỢP</t>
  </si>
  <si>
    <t>S11007-VSO-26-04-0077</t>
  </si>
  <si>
    <t>RLNVBL9K2ST717441</t>
  </si>
  <si>
    <t>VCX MUA BIC - CỮU LONG</t>
  </si>
  <si>
    <t>LÊ THỊ TẤN</t>
  </si>
  <si>
    <t>S11001-VSO-26-04-0025</t>
  </si>
  <si>
    <t>RLNVBL9K0TT701918</t>
  </si>
  <si>
    <t>NGUYÊN ANH KHOA</t>
  </si>
  <si>
    <t>NGUYỄN VĂN CHIẾN</t>
  </si>
  <si>
    <t>S11007-VSO-26-04-0093</t>
  </si>
  <si>
    <t>RLNV5JSE6TH710660</t>
  </si>
  <si>
    <t>NGUYỄN QUỐC VIỆT</t>
  </si>
  <si>
    <t>S11007-VSO-26-04-0092</t>
  </si>
  <si>
    <t>RLLVFPTT0TH718307</t>
  </si>
  <si>
    <t>KH MUA- ĐÃ TT 70%</t>
  </si>
  <si>
    <t>TRẦN MỸ QUYÊN</t>
  </si>
  <si>
    <t>S11007-VSO-26-04-0094</t>
  </si>
  <si>
    <t>RLNVBL9K8TT715534</t>
  </si>
  <si>
    <t>LÊ THANH XUÂN</t>
  </si>
  <si>
    <t>S11008-VSO-26-04-0012</t>
  </si>
  <si>
    <t>RLNV5JSE9TH741031</t>
  </si>
  <si>
    <t>TRẦN HỮU TRUNG</t>
  </si>
  <si>
    <t>S11007-VSO-26-04-0083</t>
  </si>
  <si>
    <t>RLLV3FKC9TH741234</t>
  </si>
  <si>
    <t>HUỲNH THIÊN ĐỨC</t>
  </si>
  <si>
    <t>NGUYỄN THỊ PHƯƠNG GIÀU</t>
  </si>
  <si>
    <t>S11007-VSO-26-04-0108</t>
  </si>
  <si>
    <t>RLNVBL9K8TT710723</t>
  </si>
  <si>
    <t>NGUYỄN MINH PHƯƠNG</t>
  </si>
  <si>
    <t>HUỲNH TUẤN KHANG</t>
  </si>
  <si>
    <t>S11007-VSO-26-04-0039</t>
  </si>
  <si>
    <t>RLLVFPTTXTH726298</t>
  </si>
  <si>
    <t>Tiêu Trần Minh Hương</t>
  </si>
  <si>
    <t>S11007-VSO-26-04-0041</t>
  </si>
  <si>
    <t>RLNVBL9K2TT709857</t>
  </si>
  <si>
    <t>La Trọng Hiếu</t>
  </si>
  <si>
    <t>Huỳnh Thới Em</t>
  </si>
  <si>
    <t>S11007-VSO-26-04-0060</t>
  </si>
  <si>
    <t>RLNV5JSE8TH747175</t>
  </si>
  <si>
    <t>KH MUA TNDS+VCX</t>
  </si>
  <si>
    <t>Đặng Quang Thắng</t>
  </si>
  <si>
    <t>Triệu Ngọc Toàn</t>
  </si>
  <si>
    <t>S11007-VSO-26-04-0068</t>
  </si>
  <si>
    <t>Plus_Limited</t>
  </si>
  <si>
    <t>RLLV1AUAXTH997323</t>
  </si>
  <si>
    <t>TNDS+ VCX BIC- BẾN THÀNH</t>
  </si>
  <si>
    <t>Nguyễn Thị Tố Quyên</t>
  </si>
  <si>
    <t>S11007-VSO-26-04-0048</t>
  </si>
  <si>
    <t>RLLVFPTT1TH739229</t>
  </si>
  <si>
    <t>VCX PTI</t>
  </si>
  <si>
    <t>Tạ Thị Hậu</t>
  </si>
  <si>
    <t>S11007-VSO-26-03-0250</t>
  </si>
  <si>
    <t>RLLVFPTT7TH733757</t>
  </si>
  <si>
    <t>Võ Huỳnh Nhựt Tiến</t>
  </si>
  <si>
    <t>S11007-VSO-26-03-0256</t>
  </si>
  <si>
    <t>RLLVFPTT8TH731998</t>
  </si>
  <si>
    <t>Ung Khắc Cảnh</t>
  </si>
  <si>
    <t>Trần Đinh Diệu Châu</t>
  </si>
  <si>
    <t>S11007-VSO-26-04-0069</t>
  </si>
  <si>
    <t>RLNVBL9K9TT715543</t>
  </si>
  <si>
    <t>Nguyễn Đắc Tuấn</t>
  </si>
  <si>
    <t>S11007-VSO-26-04-0052</t>
  </si>
  <si>
    <t>RLLV3F5D7SH878174</t>
  </si>
  <si>
    <t>Nguyễn Thanh Bình</t>
  </si>
  <si>
    <t>S11007-VSO-26-04-0066</t>
  </si>
  <si>
    <t>RLNVBL9K9TT713517</t>
  </si>
  <si>
    <t>Huỳnh Sĩ Nguyên</t>
  </si>
  <si>
    <t>S11008-VSO-26-04-0011</t>
  </si>
  <si>
    <t>RLNVBL9K5TT712266</t>
  </si>
  <si>
    <t>Phạm Gia Bảo</t>
  </si>
  <si>
    <t>S11007-VSO-26-04-0028</t>
  </si>
  <si>
    <t>RLNVBL9K9TT713419</t>
  </si>
  <si>
    <t>Công ty TNHH Thương Mại Xây Dựng Cửa Mạnh Hải</t>
  </si>
  <si>
    <t>S11007-VSO-26-04-0040</t>
  </si>
  <si>
    <t>RLLVFPNT8TH747213</t>
  </si>
  <si>
    <t>Lê Đại Dương</t>
  </si>
  <si>
    <t>S11007-VSO-26-04-0090</t>
  </si>
  <si>
    <t>RLLVFPTTXTH739732</t>
  </si>
  <si>
    <t>VCX BIC</t>
  </si>
  <si>
    <t>Trần Vũ Kiệt</t>
  </si>
  <si>
    <t>S11007-VSO-26-04-0082</t>
  </si>
  <si>
    <t>RLNV5JSE2TH704242</t>
  </si>
  <si>
    <t>Bùi Thị Ngọc Loan</t>
  </si>
  <si>
    <t>S11007-VSO-26-04-0089</t>
  </si>
  <si>
    <t>RLNVBL9K2TT713116</t>
  </si>
  <si>
    <t>Công ty TNHH Vận Tải Hà Quỳnh Anh</t>
  </si>
  <si>
    <t>S11007-VSO-26-03-0179</t>
  </si>
  <si>
    <t>RLLVFPNT0TH756097</t>
  </si>
  <si>
    <t>Phùng Gia Văn</t>
  </si>
  <si>
    <t>S11007-VSO-26-04-0097</t>
  </si>
  <si>
    <t>RLLVFPNT5TH749663</t>
  </si>
  <si>
    <t>Nguyễn Hoàng Tú Anh</t>
  </si>
  <si>
    <t>S11007-VSO-26-04-0095</t>
  </si>
  <si>
    <t>RLLVFPNT3TH716645</t>
  </si>
  <si>
    <t xml:space="preserve">BH MUA - DBV </t>
  </si>
  <si>
    <t>Mai Nhật Thái</t>
  </si>
  <si>
    <t>S11006-VSO-26-04-0050</t>
  </si>
  <si>
    <t>RLLVFPNT7TH750555</t>
  </si>
  <si>
    <t>NGUYỄN HUY HOÀNG</t>
  </si>
  <si>
    <t>S11001-VSO-26-04-0028</t>
  </si>
  <si>
    <t>RLNVBL9K7TT714861</t>
  </si>
  <si>
    <t>ĐOÀN XUÂN TÌNH</t>
  </si>
  <si>
    <t>S11001-VSO-26-04-0040</t>
  </si>
  <si>
    <t>RLLVFPNT3TH704785</t>
  </si>
  <si>
    <t>LÊ THỊ MỸ TUYẾT</t>
  </si>
  <si>
    <t>S11001-VSO-26-04-0053</t>
  </si>
  <si>
    <t>RLNVBL9K9TT717289</t>
  </si>
  <si>
    <t>TRẦN THỊ THANH KIỀU</t>
  </si>
  <si>
    <t>S11006-VSO-26-04-0034</t>
  </si>
  <si>
    <t>RLLVFPTT8TH740510</t>
  </si>
  <si>
    <t>NGUYỄN HOÀNG DỦ</t>
  </si>
  <si>
    <t>S11006-VSO-26-04-0028</t>
  </si>
  <si>
    <t>RLLVFPTT7TH732625</t>
  </si>
  <si>
    <t>CÔNG TY TNHH ĐẦU TƯ VÀ XÂY DỰNG PHÚC LONG</t>
  </si>
  <si>
    <t>S11007-VSO-26-04-0079</t>
  </si>
  <si>
    <t>RLLVFPNT5TH713441</t>
  </si>
  <si>
    <t>NGUYỄN HỒ KIẾN VY</t>
  </si>
  <si>
    <t>S11007-VSO-26-04-0080</t>
  </si>
  <si>
    <t>RLNVBL9K1TT712362</t>
  </si>
  <si>
    <t>CHU VĂN TÂM</t>
  </si>
  <si>
    <t>S11006-VSO-26-03-0063</t>
  </si>
  <si>
    <t>RLLVFPNT7TH742245</t>
  </si>
  <si>
    <t>LÊ NGỌC KIM QUYÊN</t>
  </si>
  <si>
    <t>S11007-VSO-26-04-0088</t>
  </si>
  <si>
    <t>RLNVBL9K2TT701502</t>
  </si>
  <si>
    <t>TRẦN TRỌNG NGHĨA</t>
  </si>
  <si>
    <t>S11006-VSO-26-04-0020</t>
  </si>
  <si>
    <t>RLNVBL9K3TT713934</t>
  </si>
  <si>
    <t>LƯU MINH QUANG</t>
  </si>
  <si>
    <t>S11007-VSO-26-04-0096</t>
  </si>
  <si>
    <t>ECO_FWD</t>
  </si>
  <si>
    <t>VF8.1</t>
  </si>
  <si>
    <t>RLLV1MTC8TH744263</t>
  </si>
  <si>
    <t>PHẠM VĂN HIỀN</t>
  </si>
  <si>
    <t>S11006-VSO-26-03-0106</t>
  </si>
  <si>
    <t>RLNV5JSE8TH706884</t>
  </si>
  <si>
    <t>HUỲNH HỮU THỊNH</t>
  </si>
  <si>
    <t>S11001-VSO-26-04-0033</t>
  </si>
  <si>
    <t>RLLVAG8C2TH740140</t>
  </si>
  <si>
    <t>NGUYỄN QUỐC TRUNG</t>
  </si>
  <si>
    <t>S11001-VSO-26-04-0030</t>
  </si>
  <si>
    <t>RLNVBL9K8TT715095</t>
  </si>
  <si>
    <t>NGUYỄN KHÁNH MINH</t>
  </si>
  <si>
    <t>S11007-VSO-26-04-0111</t>
  </si>
  <si>
    <t>RLLV3EKB3TH728402</t>
  </si>
  <si>
    <t>NGUYỄN THỊ NGỌC NGÂN</t>
  </si>
  <si>
    <t>S11006-VSO-26-04-0013</t>
  </si>
  <si>
    <t>RLNVBL9K4TT716387</t>
  </si>
  <si>
    <t>NGUYỄN HOÀI NAM</t>
  </si>
  <si>
    <t>S11006-VSO-26-04-0046</t>
  </si>
  <si>
    <t>RLNV5JSE4TH717266</t>
  </si>
  <si>
    <t>PHẠM VĂN LÈO</t>
  </si>
  <si>
    <t>S11006-VSO-26-04-0037</t>
  </si>
  <si>
    <t>RLLVFPNT1TH749711</t>
  </si>
  <si>
    <t>Võ Thị Phương Linh</t>
  </si>
  <si>
    <t>PHẠM THANH THÁI</t>
  </si>
  <si>
    <t>S11006-VSO-26-04-0002</t>
  </si>
  <si>
    <t>RLLVFPNTXTH743745</t>
  </si>
  <si>
    <t>NGUYỄN THỊ THU TRÚC</t>
  </si>
  <si>
    <t>S11001-VSO-26-04-0036</t>
  </si>
  <si>
    <t>RLNVBL9K1TT714046</t>
  </si>
  <si>
    <t>NGUYỄN THÀNH GIÀU</t>
  </si>
  <si>
    <t>S11006-VSO-26-04-0048</t>
  </si>
  <si>
    <t>RLNVBL9K7TT713919</t>
  </si>
  <si>
    <t>S11006-VSO-26-03-0108</t>
  </si>
  <si>
    <t>RNXVGRPK0TT710607</t>
  </si>
  <si>
    <t>MAI THỊ THANH HẰNG</t>
  </si>
  <si>
    <t>S11006-VSO-26-04-0033</t>
  </si>
  <si>
    <t>RLNVBL9K3TT715909</t>
  </si>
  <si>
    <t>HUỲNH LÊ TRỌNG BẰNG</t>
  </si>
  <si>
    <t>S11006-VSO-26-04-0042</t>
  </si>
  <si>
    <t>RLLVAG8C9TH746100</t>
  </si>
  <si>
    <t>VÕ THANH TUẤN</t>
  </si>
  <si>
    <t>S11006-VSO-26-03-0113</t>
  </si>
  <si>
    <t>RLLVAG8C2TH738260</t>
  </si>
  <si>
    <t>PHAN THỊ QUỲNH LOAN</t>
  </si>
  <si>
    <t>S11001-VSO-26-04-0043</t>
  </si>
  <si>
    <t>RLLVFPTT3TH747784</t>
  </si>
  <si>
    <t>CÔNG TY TẶNG BH</t>
  </si>
  <si>
    <t>LÊ THANH KHẢI</t>
  </si>
  <si>
    <t>S11001-VSO-26-04-0051</t>
  </si>
  <si>
    <t>RLLVAG8C6TH747656</t>
  </si>
  <si>
    <t>MAI THỊ NGỌC TRÂN</t>
  </si>
  <si>
    <t>S11001-VSO-26-04-0056</t>
  </si>
  <si>
    <t>RLNVBL9K4TT715739</t>
  </si>
  <si>
    <t>Đặng Quang Định</t>
  </si>
  <si>
    <t>S11007-VSO-26-04-0103</t>
  </si>
  <si>
    <t>RLNVBL9K9ST717551</t>
  </si>
  <si>
    <t>Võ Thụy Thu Hà</t>
  </si>
  <si>
    <t>S11007-VSO-26-04-0106</t>
  </si>
  <si>
    <t>RLNVBL9KXTT716605</t>
  </si>
  <si>
    <t>Nguyễn Thanh Sang</t>
  </si>
  <si>
    <t>S11001-VSO-26-04-0029</t>
  </si>
  <si>
    <t>RLLVFPNT7TH704742</t>
  </si>
  <si>
    <t>Phạm Thu Hà</t>
  </si>
  <si>
    <t>S11007-VSO-26-04-0098</t>
  </si>
  <si>
    <t>RLLVFPNT3SH894909</t>
  </si>
  <si>
    <t>Công ty TNHH Giấy Xuân Mai</t>
  </si>
  <si>
    <t>S11001-VSO-26-04-0050</t>
  </si>
  <si>
    <t>RLLVFPTT4TH740665</t>
  </si>
  <si>
    <t>Nguyễn Thị Kim Ngân</t>
  </si>
  <si>
    <t>S11008-VSO-26-04-0014</t>
  </si>
  <si>
    <t>RLNVBL9KXTT715969</t>
  </si>
  <si>
    <t>Trương Bồ Thái Dương</t>
  </si>
  <si>
    <t>S11001-VSO-26-04-0049</t>
  </si>
  <si>
    <t>RLLVAGND0TH731286</t>
  </si>
  <si>
    <t>Phan Ngọc Huy</t>
  </si>
  <si>
    <t>S11007-VSO-26-03-0111</t>
  </si>
  <si>
    <t>RLLVAG8C3TH753253</t>
  </si>
  <si>
    <t>Nguyễn Phạm Ngọc Oanh</t>
  </si>
  <si>
    <t>S11001-VSO-26-04-0037</t>
  </si>
  <si>
    <t>RLLVFPTT0TH723331</t>
  </si>
  <si>
    <t>Nguyễn Thị Kim Bình</t>
  </si>
  <si>
    <t>S11001-VSO-26-04-0038</t>
  </si>
  <si>
    <t>RLLVFPNT8TH757630</t>
  </si>
  <si>
    <t>Tạ Quốc Hưng</t>
  </si>
  <si>
    <t>S11001-VSO-26-04-0054</t>
  </si>
  <si>
    <t>RLLVFPTT6TH723205</t>
  </si>
  <si>
    <t>Công ty Cổ Phần Đầu Tư Đông Hòa Design</t>
  </si>
  <si>
    <t>S11007-VSO-26-03-0133</t>
  </si>
  <si>
    <t>RLLVFPTT7TH735511</t>
  </si>
  <si>
    <t>NGUYỄN THỊ BÍCH HUỆ</t>
  </si>
  <si>
    <t>S11007-VSO-26-04-0104</t>
  </si>
  <si>
    <t>RLLVFPNT8TH745476</t>
  </si>
  <si>
    <t>NGUYỄN TRUNG HIẾU T1</t>
  </si>
  <si>
    <t>HOÀNG PHÚ LÂM</t>
  </si>
  <si>
    <t>S11007-VSO-26-04-0101</t>
  </si>
  <si>
    <t>RLNV5JSE9SH889579</t>
  </si>
  <si>
    <t>HUỲNH NGỌC ĐIỆP</t>
  </si>
  <si>
    <t>S11001-VSO-26-04-0035</t>
  </si>
  <si>
    <t>RLLVFPNTXTH753966</t>
  </si>
  <si>
    <t>PHẠM ĐĂNG NAM</t>
  </si>
  <si>
    <t>S11001-VSO-26-04-0039</t>
  </si>
  <si>
    <t>RLLVAGND2TH736666</t>
  </si>
  <si>
    <t>VŨ ĐỨC SANG</t>
  </si>
  <si>
    <t>S11001-VSO-26-04-0044</t>
  </si>
  <si>
    <t>RLLVFPNT7TH758459</t>
  </si>
  <si>
    <t>CÔNG TY TNHH PHÒNG KHÁM QUỐC TÊ CHUYÊN KHOA RĂNG HÀM MẶT LAZA BÌNH DƯƠNG</t>
  </si>
  <si>
    <t>S11001-VSO-26-04-0048</t>
  </si>
  <si>
    <t>Green</t>
  </si>
  <si>
    <t>RLLVFPNT6TH758582</t>
  </si>
  <si>
    <t>CÔNG TY TNHH PHÒNG KHÁM QUỐC TẾ RĂNG HÀM MẶT LAZA BIÊN HOÀ</t>
  </si>
  <si>
    <t>S11001-VSO-26-04-0047</t>
  </si>
  <si>
    <t>RLLVFPNT5TH757505</t>
  </si>
  <si>
    <t>NGÔ THẾ ĐỨC</t>
  </si>
  <si>
    <t>S11007-VSO-26-04-0084</t>
  </si>
  <si>
    <t>RLLVFPNT6TH749588</t>
  </si>
  <si>
    <t>LÊ THANH THUỶ</t>
  </si>
  <si>
    <t>NGUYỄN HỮU HƯỞNG</t>
  </si>
  <si>
    <t>S11001-VSO-26-04-0052</t>
  </si>
  <si>
    <t>RLLVFPTT7TH747741</t>
  </si>
  <si>
    <t>KHA KIM NGÂN</t>
  </si>
  <si>
    <t>S11001-VSO-26-04-0055</t>
  </si>
  <si>
    <t>RLLVFPTT8TH751183</t>
  </si>
  <si>
    <t>CÔNG TY TNHH PHÒNG KHÁM CHUYÊN KHOA RĂNG HÀM MẶT LAZA SÀI GÒN</t>
  </si>
  <si>
    <t>S11001-VSO-26-04-0046</t>
  </si>
  <si>
    <t>RLLVFPNT2TH758644</t>
  </si>
  <si>
    <t>MÀU</t>
  </si>
  <si>
    <t>Tổng Thưởng/Xe thực tế
LẤY CỘT NÀY</t>
  </si>
  <si>
    <t>Thưởng nóng VF7 - VF8 - VF9</t>
  </si>
  <si>
    <t>Thưởng nóng Limo green</t>
  </si>
  <si>
    <t>Ứng trước thưởng TVBH T04.26</t>
  </si>
  <si>
    <t>Trừ HH Công nợ Bảo hiểm TVBH T04.26</t>
  </si>
  <si>
    <t>Trừ HH Công nợ phụ kiện TVBH T04.26</t>
  </si>
  <si>
    <t>2818</t>
  </si>
  <si>
    <t>ĐEN_VÀNG</t>
  </si>
  <si>
    <t>2820</t>
  </si>
  <si>
    <t>PHAN THỊ NGỌC ÁNH</t>
  </si>
  <si>
    <t>2845</t>
  </si>
  <si>
    <t>2886</t>
  </si>
  <si>
    <t>2888</t>
  </si>
  <si>
    <t>Từ Nữ Bé Mi</t>
  </si>
  <si>
    <t>VF9 Eco</t>
  </si>
  <si>
    <t>2889</t>
  </si>
  <si>
    <t>2923</t>
  </si>
  <si>
    <t>NGUYỄN DƯƠNG NHẬT TRƯỜNG</t>
  </si>
  <si>
    <t>Màu đỏ Ruby</t>
  </si>
  <si>
    <t>2925</t>
  </si>
  <si>
    <t>LÝ THANH HOÀNG</t>
  </si>
  <si>
    <t>2926</t>
  </si>
  <si>
    <t>2927</t>
  </si>
  <si>
    <t>2928</t>
  </si>
  <si>
    <t>NGÔ TIẾN HOÀNG</t>
  </si>
  <si>
    <t>2929</t>
  </si>
  <si>
    <t>NGUYỄN THANH LONG</t>
  </si>
  <si>
    <t>2930</t>
  </si>
  <si>
    <t>2931</t>
  </si>
  <si>
    <t>2932</t>
  </si>
  <si>
    <t>VŨ ANH QUANG</t>
  </si>
  <si>
    <t>VF7 Eco</t>
  </si>
  <si>
    <t>2934</t>
  </si>
  <si>
    <t>2935</t>
  </si>
  <si>
    <t xml:space="preserve">ĐỎ </t>
  </si>
  <si>
    <t>2936</t>
  </si>
  <si>
    <t>2992</t>
  </si>
  <si>
    <t>3043</t>
  </si>
  <si>
    <t>NGUYỄN THỊ DIỄM MI</t>
  </si>
  <si>
    <t>3044</t>
  </si>
  <si>
    <t>ĐỖ THỊ HƯƠNG</t>
  </si>
  <si>
    <t>3045</t>
  </si>
  <si>
    <t>3046</t>
  </si>
  <si>
    <t>3047</t>
  </si>
  <si>
    <t>TRƯƠNG HOÀNG DANH</t>
  </si>
  <si>
    <t>3048</t>
  </si>
  <si>
    <t>TRỊNH KIM THÔI</t>
  </si>
  <si>
    <t>3050</t>
  </si>
  <si>
    <t>NGUYỄN XUÂN THỦY</t>
  </si>
  <si>
    <t>3052</t>
  </si>
  <si>
    <t>NGUYỄN TRẦN KHÁNH</t>
  </si>
  <si>
    <t>3054</t>
  </si>
  <si>
    <t>3058</t>
  </si>
  <si>
    <t>3063</t>
  </si>
  <si>
    <t>NGUYỄN NGỌC HUY</t>
  </si>
  <si>
    <t>3064</t>
  </si>
  <si>
    <t>VŨ THANH MINH</t>
  </si>
  <si>
    <t>3065</t>
  </si>
  <si>
    <t>3066</t>
  </si>
  <si>
    <t>3067</t>
  </si>
  <si>
    <t>NGUYỄN ĐĂNG KHOA</t>
  </si>
  <si>
    <t>3068</t>
  </si>
  <si>
    <t>3069</t>
  </si>
  <si>
    <t>NGUYỄN NGỌC GIÁP</t>
  </si>
  <si>
    <t>3071</t>
  </si>
  <si>
    <t>3076</t>
  </si>
  <si>
    <t>3077</t>
  </si>
  <si>
    <t>3082</t>
  </si>
  <si>
    <t>HOÀNG TIẾN BÌNH</t>
  </si>
  <si>
    <t>3083</t>
  </si>
  <si>
    <t>CÔNG TY TNHH XUẤT NHẬP KHẨU GIAO NHẬN VẬN TẢI QUỐC BẢO</t>
  </si>
  <si>
    <t>3084</t>
  </si>
  <si>
    <t>3086</t>
  </si>
  <si>
    <t>NGUYỄN THỊ BÍCH THỦY</t>
  </si>
  <si>
    <t>3090</t>
  </si>
  <si>
    <t>3091</t>
  </si>
  <si>
    <t>3092</t>
  </si>
  <si>
    <t>NGUYỄN NGỌC PHƯỢNG</t>
  </si>
  <si>
    <t>3093</t>
  </si>
  <si>
    <t>3096</t>
  </si>
  <si>
    <t>3099</t>
  </si>
  <si>
    <t>3178</t>
  </si>
  <si>
    <t>3180</t>
  </si>
  <si>
    <t>CÔNG TY CỔ PHẦN PHÂN PHỐI SẢN PHẨM CÔNG NGHỆ CAO DẦU KHÍ</t>
  </si>
  <si>
    <t>3181</t>
  </si>
  <si>
    <t>3182</t>
  </si>
  <si>
    <t>3206</t>
  </si>
  <si>
    <t>HỒNG NÓC TRẮNG</t>
  </si>
  <si>
    <t>3208</t>
  </si>
  <si>
    <t>3209</t>
  </si>
  <si>
    <t>NGUYỄN THỊ HỒNG LINH</t>
  </si>
  <si>
    <t>3212</t>
  </si>
  <si>
    <t>3273</t>
  </si>
  <si>
    <t>TRẦN THỊ THU ANH</t>
  </si>
  <si>
    <t>3320</t>
  </si>
  <si>
    <t>ĐIỀN ĐỨC NHẬT</t>
  </si>
  <si>
    <t>3322</t>
  </si>
  <si>
    <t>3364</t>
  </si>
  <si>
    <t>3368</t>
  </si>
  <si>
    <t>3392</t>
  </si>
  <si>
    <t>CÔNG TY TNHH TMDV VẬN TẢI KIM PHÁT</t>
  </si>
  <si>
    <t>3394</t>
  </si>
  <si>
    <t>NGUYỄN MINH NGHĨA</t>
  </si>
  <si>
    <t>3396</t>
  </si>
  <si>
    <t>VF9 Plus</t>
  </si>
  <si>
    <t>3413</t>
  </si>
  <si>
    <t>3414</t>
  </si>
  <si>
    <t>3417</t>
  </si>
  <si>
    <t>Huỳnh Quốc Huy</t>
  </si>
  <si>
    <t>3454</t>
  </si>
  <si>
    <t>3455</t>
  </si>
  <si>
    <t>3420</t>
  </si>
  <si>
    <t>3422</t>
  </si>
  <si>
    <t>3511</t>
  </si>
  <si>
    <t>VÕ HUỲNH NHỰT TIẾN</t>
  </si>
  <si>
    <t>3512</t>
  </si>
  <si>
    <t>TẠ THỊ HẬU</t>
  </si>
  <si>
    <t>3514</t>
  </si>
  <si>
    <t>3519</t>
  </si>
  <si>
    <t>VÕ VĂN TÀI</t>
  </si>
  <si>
    <t>3520</t>
  </si>
  <si>
    <t>ĐẶNG THỊ THÚY HẰNG</t>
  </si>
  <si>
    <t>3621</t>
  </si>
  <si>
    <t>3622</t>
  </si>
  <si>
    <t>3626</t>
  </si>
  <si>
    <t>3628</t>
  </si>
  <si>
    <t>3632</t>
  </si>
  <si>
    <t>3633</t>
  </si>
  <si>
    <t>3635</t>
  </si>
  <si>
    <t>CÔNG TY TNHH THƯƠNG MẠI &amp; DỊCH VỤ GIẢI PHÁP TỰ ĐỘNG HÓA LONG AN</t>
  </si>
  <si>
    <t>3637</t>
  </si>
  <si>
    <t>CÔNG TY TNHH THƯƠNG MẠI XÂY DỰNG CỬA MẠNH HẢI</t>
  </si>
  <si>
    <t>3725</t>
  </si>
  <si>
    <t>3726</t>
  </si>
  <si>
    <t>3760</t>
  </si>
  <si>
    <t>HỒNG</t>
  </si>
  <si>
    <t>3761</t>
  </si>
  <si>
    <t>CÔNG TY TNHH VẬN TẢI HÀ QUỲNH ANH</t>
  </si>
  <si>
    <t>3728</t>
  </si>
  <si>
    <t>XÁM LC</t>
  </si>
  <si>
    <t>3730</t>
  </si>
  <si>
    <t>NGÔ PHƯƠNG THÚY</t>
  </si>
  <si>
    <t>3731</t>
  </si>
  <si>
    <t>3852</t>
  </si>
  <si>
    <t>Nguyễn Trung Hiếu</t>
  </si>
  <si>
    <t>3853</t>
  </si>
  <si>
    <t>3845</t>
  </si>
  <si>
    <t>3808</t>
  </si>
  <si>
    <t>3807</t>
  </si>
  <si>
    <t>3772</t>
  </si>
  <si>
    <t>3934</t>
  </si>
  <si>
    <t>CÔNG TY CỔ PHẦN ĐẦU TƯ ĐÔNG HÒA DESIGN</t>
  </si>
  <si>
    <t>3928</t>
  </si>
  <si>
    <t>3919</t>
  </si>
  <si>
    <t>PHAN NGỌC HUY</t>
  </si>
  <si>
    <t>3923</t>
  </si>
  <si>
    <t>2933</t>
  </si>
  <si>
    <t>2976</t>
  </si>
  <si>
    <t>3051</t>
  </si>
  <si>
    <t>VÕ THỊ CẨM VÂN</t>
  </si>
  <si>
    <t>3053</t>
  </si>
  <si>
    <t>3049</t>
  </si>
  <si>
    <t>NGUYỄN VĂN NĂM</t>
  </si>
  <si>
    <t>3070</t>
  </si>
  <si>
    <t>3078</t>
  </si>
  <si>
    <t>3087</t>
  </si>
  <si>
    <t>NGUYỄN THÚY HỒNG NGUYÊN</t>
  </si>
  <si>
    <t>3088</t>
  </si>
  <si>
    <t>3094</t>
  </si>
  <si>
    <t>3095</t>
  </si>
  <si>
    <t>NGUYỄN DUY NGỌC QUỲNH</t>
  </si>
  <si>
    <t>3097</t>
  </si>
  <si>
    <t>3098</t>
  </si>
  <si>
    <t>PHẠM THỊ THANH VÂN</t>
  </si>
  <si>
    <t>3100</t>
  </si>
  <si>
    <t>3128</t>
  </si>
  <si>
    <t>3145</t>
  </si>
  <si>
    <t>TRẦN THỊ THU HƯỜNG</t>
  </si>
  <si>
    <t>3177</t>
  </si>
  <si>
    <t>3179</t>
  </si>
  <si>
    <t>LƯƠNG THỊ HƯƠNG</t>
  </si>
  <si>
    <t>3210</t>
  </si>
  <si>
    <t>3211</t>
  </si>
  <si>
    <t>3321</t>
  </si>
  <si>
    <t>3363</t>
  </si>
  <si>
    <t>3388</t>
  </si>
  <si>
    <t>LÊ THỊ MỸ LINH</t>
  </si>
  <si>
    <t>3389</t>
  </si>
  <si>
    <t>PHẠM HUY QUỲNH GIAO</t>
  </si>
  <si>
    <t>3390</t>
  </si>
  <si>
    <t>CÔNG TY TNHH THƯƠNG MẠI DỊCH VỤ LINK VN</t>
  </si>
  <si>
    <t>3391</t>
  </si>
  <si>
    <t>3395</t>
  </si>
  <si>
    <t>3406</t>
  </si>
  <si>
    <t>3407</t>
  </si>
  <si>
    <t>HUỲNH THỚI EM</t>
  </si>
  <si>
    <t>3408</t>
  </si>
  <si>
    <t>TIÊU TRẦN MINH HƯƠNG</t>
  </si>
  <si>
    <t>3409</t>
  </si>
  <si>
    <t>TRIỆU NGỌC TOÀN</t>
  </si>
  <si>
    <t>3412</t>
  </si>
  <si>
    <t>HUỲNH QUỐC DŨNG</t>
  </si>
  <si>
    <t>3418</t>
  </si>
  <si>
    <t>3419</t>
  </si>
  <si>
    <t>3421</t>
  </si>
  <si>
    <t>3423</t>
  </si>
  <si>
    <t>3499</t>
  </si>
  <si>
    <t>NGUYỄN THỊ TỐ QUYÊN</t>
  </si>
  <si>
    <t>3500</t>
  </si>
  <si>
    <t>TRẦN ĐINH DIỆU CHÂU</t>
  </si>
  <si>
    <t>3513</t>
  </si>
  <si>
    <t>ĐỎ RUBY</t>
  </si>
  <si>
    <t>3515</t>
  </si>
  <si>
    <t>NGUYỄN ĐẮC TUẤN</t>
  </si>
  <si>
    <t>3516</t>
  </si>
  <si>
    <t>3517</t>
  </si>
  <si>
    <t>NGUYỄN THANH BÌNH</t>
  </si>
  <si>
    <t>3522</t>
  </si>
  <si>
    <t>3623</t>
  </si>
  <si>
    <t>3624</t>
  </si>
  <si>
    <t>3625</t>
  </si>
  <si>
    <t>3630</t>
  </si>
  <si>
    <t>HUỲNH SĨ NGUYÊN</t>
  </si>
  <si>
    <t>3631</t>
  </si>
  <si>
    <t>3634</t>
  </si>
  <si>
    <t>PHẠM GIA BẢO</t>
  </si>
  <si>
    <t>3636</t>
  </si>
  <si>
    <t>3639</t>
  </si>
  <si>
    <t>LÊ ĐẠI DƯƠNG</t>
  </si>
  <si>
    <t>3669</t>
  </si>
  <si>
    <t>NGUYễN ANH KHOA</t>
  </si>
  <si>
    <t>3670</t>
  </si>
  <si>
    <t>3671</t>
  </si>
  <si>
    <t>TRẦN VŨ KIỆT</t>
  </si>
  <si>
    <t>3696</t>
  </si>
  <si>
    <t>3706</t>
  </si>
  <si>
    <t xml:space="preserve">VF8 Eco </t>
  </si>
  <si>
    <t>3718</t>
  </si>
  <si>
    <t>3719</t>
  </si>
  <si>
    <t>BÙI THỊ NGỌC LOAN</t>
  </si>
  <si>
    <t>3720</t>
  </si>
  <si>
    <t>3721</t>
  </si>
  <si>
    <t>3727</t>
  </si>
  <si>
    <t>3729</t>
  </si>
  <si>
    <t>3759</t>
  </si>
  <si>
    <t>3765</t>
  </si>
  <si>
    <t>LÊ QUANG KHẢI</t>
  </si>
  <si>
    <t>3766</t>
  </si>
  <si>
    <t>3767</t>
  </si>
  <si>
    <t>3768</t>
  </si>
  <si>
    <t>TRẦN MINH PHƯƠNG</t>
  </si>
  <si>
    <t>3769</t>
  </si>
  <si>
    <t>3770</t>
  </si>
  <si>
    <t>3771</t>
  </si>
  <si>
    <t>NGUYỄN HOÀNG TÚ ANH</t>
  </si>
  <si>
    <t>3773</t>
  </si>
  <si>
    <t>3774</t>
  </si>
  <si>
    <t>PHÙNG GIA VĂN</t>
  </si>
  <si>
    <t>3805</t>
  </si>
  <si>
    <t>MAI NHẬT THÁI</t>
  </si>
  <si>
    <t>3818</t>
  </si>
  <si>
    <t>3819</t>
  </si>
  <si>
    <t>VÕ THỤY THU HÀ</t>
  </si>
  <si>
    <t>3820</t>
  </si>
  <si>
    <t>ĐẶNG QUANG ĐỊNH</t>
  </si>
  <si>
    <t>3827</t>
  </si>
  <si>
    <t>3828</t>
  </si>
  <si>
    <t>NGUYỄN THANH SANG</t>
  </si>
  <si>
    <t>3844</t>
  </si>
  <si>
    <t>3846</t>
  </si>
  <si>
    <t>PHẠM THU HÀ</t>
  </si>
  <si>
    <t>3854</t>
  </si>
  <si>
    <t>3909</t>
  </si>
  <si>
    <t>LÊ THÀNH KHẢI</t>
  </si>
  <si>
    <t>3910</t>
  </si>
  <si>
    <t>TRƯƠNG BỒ THÁI DƯƠNG</t>
  </si>
  <si>
    <t>3911</t>
  </si>
  <si>
    <t>CÔNG TY TNHH GIẤY XUÂN MAI</t>
  </si>
  <si>
    <t>3916</t>
  </si>
  <si>
    <t>3920</t>
  </si>
  <si>
    <t>NGUYỄN PHẠM NGỌC OANH</t>
  </si>
  <si>
    <t>3921</t>
  </si>
  <si>
    <t>3922</t>
  </si>
  <si>
    <t>3924</t>
  </si>
  <si>
    <t>3925</t>
  </si>
  <si>
    <t>3926</t>
  </si>
  <si>
    <t>3927</t>
  </si>
  <si>
    <t>3929</t>
  </si>
  <si>
    <t>3930</t>
  </si>
  <si>
    <t>NGUYỄN THỊ KIM BÌNH</t>
  </si>
  <si>
    <t>3931</t>
  </si>
  <si>
    <t>3932</t>
  </si>
  <si>
    <t>3933</t>
  </si>
  <si>
    <t>TẠ QUỐC HƯNG</t>
  </si>
  <si>
    <t>3935</t>
  </si>
  <si>
    <t>Bảng kê hóa đơn bán hàng</t>
  </si>
  <si>
    <t>Từ ngày 01/04/2026 đến ngày 30/04/2026...</t>
  </si>
  <si>
    <t>Mã hàng</t>
  </si>
  <si>
    <t>Tên mặt hàng</t>
  </si>
  <si>
    <t>Đvt</t>
  </si>
  <si>
    <t>Giá bán</t>
  </si>
  <si>
    <t>Thuế</t>
  </si>
  <si>
    <t>Chiết khấu</t>
  </si>
  <si>
    <t>Phải thu</t>
  </si>
  <si>
    <t>Tiền vốn</t>
  </si>
  <si>
    <t>Mã nx</t>
  </si>
  <si>
    <t>Kho hàng</t>
  </si>
  <si>
    <t>Tk doanh thu</t>
  </si>
  <si>
    <t>Hợp đồng</t>
  </si>
  <si>
    <t/>
  </si>
  <si>
    <t>Cái</t>
  </si>
  <si>
    <t>2KHO2</t>
  </si>
  <si>
    <t>2C04187</t>
  </si>
  <si>
    <t>Xe ô tô con nhãn hiệu Vinfast VF8 PLUS(xe điện) U5AA04; 5 chỗ ngồi; tay lái thuận, mới 100%;   Màu Đen; Vàng; SK:RLLV1AUA2TH997462 -  SM1:VFBALB25A030072;  SM2:VFBALA259130058. Số Serial PIN: C801072250805J0046</t>
  </si>
  <si>
    <t>2VF8-H997462</t>
  </si>
  <si>
    <t>2KHO4</t>
  </si>
  <si>
    <t>2C04555</t>
  </si>
  <si>
    <t>Xe ô tô con nhãn hiệu Vinfast VF3 Plus(xe điện) 94KL05; 4 chỗ ngồi, tay lái thuận, mới 100%;   Màu Trắng; SK:RLNVBL9K2TT711527 -  SM:TZ160X30G26010700339. Số Serial PIN: Y33051260318K00055</t>
  </si>
  <si>
    <t>2VF3-T711527</t>
  </si>
  <si>
    <t>2C04504</t>
  </si>
  <si>
    <t>Xe ô tô con nhãn hiệu Vinfast VF6 PLUs(xe điện) P5CG04; 5 chỗ ngồi; tay lái thuận, mới 100%;   Màu Xám; SK:RLLVAG8C8TH712424 -  SM:VFBALB261100114. Số Serial PIN: V63051251230A00085</t>
  </si>
  <si>
    <t>2VF6-H712424</t>
  </si>
  <si>
    <t>2C04386</t>
  </si>
  <si>
    <t>Xe ô tô con Vinfast MINIO GREEN(xe điện);   Màu Đỏ; SK:RLNVMNMS7ST700177 -  SM:HLSA3A25C130172. Số Serial PIN: BAT63020002AA2102174251027D10003</t>
  </si>
  <si>
    <t>2MIN-T700177</t>
  </si>
  <si>
    <t>2890</t>
  </si>
  <si>
    <t>Điều chỉnh tăng giá do tư vấn giá sai</t>
  </si>
  <si>
    <t>2VF5-H886194</t>
  </si>
  <si>
    <t>2C04558</t>
  </si>
  <si>
    <t>XE Ô TÔ CON NHÃN HIỆU VINFAST VF9 ECO V7AC01 7 chỗ ngồi; tay lái thuận, mới 100%; MÀU TRẮNG; SK:RLLV2CVA6SH843519 - SM1:VFBALB248170003; SM2:VFBALA25A040053. Số Serial PIN:</t>
  </si>
  <si>
    <t>2VF9-H843519</t>
  </si>
  <si>
    <t>2KHO3</t>
  </si>
  <si>
    <t>2C04563</t>
  </si>
  <si>
    <t>Xe ô tô con nhãn hiệu Vinfast VF3(xe điện) 94KL04; 4 chỗ ngồi, tay lái thuận, mới 100%;   Màu Xanh Lá Nhạt; SK:RLNVBL9K1ST716572 -  SM:TZ160X30G25101200216. Số Serial PIN: X33051251215K00063</t>
  </si>
  <si>
    <t>2VF3-T716572</t>
  </si>
  <si>
    <t>2C04569</t>
  </si>
  <si>
    <t>Xe ô tô con nhãn hiệu Vinfast VF6 PLUs(xe điện) P5CG04; 5 chỗ ngồi; tay lái thuận, mới 100%;   Màu đỏ; SK:RLLVAG8C9TH736604 -  SM:VFBALB263200109. Số Serial PIN: V63051260319D00110</t>
  </si>
  <si>
    <t>2VF6-H736604</t>
  </si>
  <si>
    <t>2C04570</t>
  </si>
  <si>
    <t>Xe ô tô con Vinfast LIMO GREEN(xe điện) N7TP01; 7 chỗ ngồi, tay lái thuận, mới 100%;   Màu Đen; SK:RLLVFPNT3TH707749 -  SM:ENBALB25C070516. Số Serial PIN: L73152251126D50082</t>
  </si>
  <si>
    <t>2LMO-H707749</t>
  </si>
  <si>
    <t>2C04612</t>
  </si>
  <si>
    <t>Xe ô tô con Vinfast VF5 Plus(xe điện) S5EJ01; 5 chỗ ngồi; tay lái thuận, mới 100%;   MÀU XANH LÁ NHẠT; SK:RLNV5JSE4TH713606 -  SM:VFCAFB261230040. Số Serial PIN: Z50066251231DGR030</t>
  </si>
  <si>
    <t>2VF5-H713606</t>
  </si>
  <si>
    <t>2C04622</t>
  </si>
  <si>
    <t>Xe ô tô con nhãn hiệu Vinfast VF6 PLUs(xe điện) P5CG04; 5 chỗ ngồi; tay lái thuận, mới 100%;   Màu Trắng; SK:RLLVAG8CXTH719133 -  SM:VFBALB261290022. Số Serial PIN: V63051260125D00092</t>
  </si>
  <si>
    <t>2VF6-H719133</t>
  </si>
  <si>
    <t>2C04602</t>
  </si>
  <si>
    <t>Xe ô tô con nhãn hiệu Vinfast VF3(xe điện) 94KL04; 4 chỗ ngồi, tay lái thuận, mới 100%;   Màu XANH DƯƠNG; SK:RLNVBL9K1ST717561 -  SM:TZ160X30G25112800035. Số Serial PIN: X33051251214K00258</t>
  </si>
  <si>
    <t>2VF3-T717561</t>
  </si>
  <si>
    <t>2C04594</t>
  </si>
  <si>
    <t>Xe ô tô con nhãn hiệu Vinfast VF3 Plus(xe điện) 94KL05; 4 chỗ ngồi, tay lái thuận, mới 100%;   Màu Trắng; SK:RLNVBL9K9TT711878 -  SM:TZ160X30G26011400190. Số Serial PIN: Y33051260302K00016</t>
  </si>
  <si>
    <t>2VF3-T711878</t>
  </si>
  <si>
    <t>2C04628</t>
  </si>
  <si>
    <t>Xe ô tô con nhãn hiệu Vinfast VF6 PLUs(xe điện) P5CG04; 5 chỗ ngồi; tay lái thuận, mới 100%;   Màu Trắng; SK:RLLVAG8C4TH732735 -  SM:VFBALB263150036. Số Serial PIN: V63051260312A00061</t>
  </si>
  <si>
    <t>2VF6-H732735</t>
  </si>
  <si>
    <t>Xe ô tô con Vinfast LIMO GREEN(xe điện) N7TP01; 7 chỗ ngồi, tay lái thuận, mới 100%;   Màu Đỏ; SK:RLLVFPNTXTH702483 -  SM:ENBALB25C020485. Số Serial PIN: L73152251214D50005</t>
  </si>
  <si>
    <t>2LMO-H702483</t>
  </si>
  <si>
    <t>2C04603</t>
  </si>
  <si>
    <t>Xe ô tô con nhãn hiệu Vinfast VF7 ECo(xe điện) 55DF02; 5 chỗ ngồi; tay lái thuận, mới 100%;   MÀU XANH LÁ NHẠT; SK:RLLV3F5D6TH714321 -  SM:VFCAJB261210168. Số Serial PIN: V73051260119A00008</t>
  </si>
  <si>
    <t>2VF7-H714321</t>
  </si>
  <si>
    <t>2C04681</t>
  </si>
  <si>
    <t>Xe ô tô con VINFAST VF MPV 7(xe điện) T7TP01; 7 chỗ ngồi, tay lái thuận, mới 100%;   Màu Trắng; SK:RLLVFPTT0TH733714 -  SM:ENBALB25C120520. Số Serial PIN: L73152260105N30010</t>
  </si>
  <si>
    <t>2MP7-H733714</t>
  </si>
  <si>
    <t>2C04680</t>
  </si>
  <si>
    <t>Xe ô tô con nhãn hiệu Vinfast VF3 Eco(xe điện) 94KL04; 4 chỗ ngồi, tay lái thuận, mới 100%;   Màu Trắng; SK:RLNVBL9K4TT707902 -  SM:TZ160X30G25121800019. Số Serial PIN: Y33051260127K00106</t>
  </si>
  <si>
    <t>2VF3-T707902</t>
  </si>
  <si>
    <t>2C04690</t>
  </si>
  <si>
    <t>Xe ô tô con Vinfast VF5 Plus(xe điện) S5EJ06; 5 chỗ ngồi; tay lái thuận, mới 100%;   MÀU ĐỎ; SK:RLNV5JSE2TH732400 -  SM:VFCAFB263120153. Số Serial PIN: Z50066260115DBU123</t>
  </si>
  <si>
    <t>2VF5-H732400</t>
  </si>
  <si>
    <t>2C04652</t>
  </si>
  <si>
    <t>Xe ô tô con Vinfast LIMO GREEN(xe điện) N7TP01; 7 chỗ ngồi, tay lái thuận, mới 100%;   Màu Đen; SK:RLLVFPNT5TH707865 -  SM:ENBALB25B250509. Số Serial PIN: L73152251126D50087</t>
  </si>
  <si>
    <t>2LMO-H707865</t>
  </si>
  <si>
    <t>2C04722</t>
  </si>
  <si>
    <t>Xe ô tô con nhãn hiệu Vinfast VF3(xe điện) Màu Hồng Phấn; SK:RLNVBL9K9ST709725 - SM:TZ160X30G25073000190. Số Serial PIN: X33051251107C00123</t>
  </si>
  <si>
    <t>2VF3-T709725</t>
  </si>
  <si>
    <t>2KHO5</t>
  </si>
  <si>
    <t>C204703</t>
  </si>
  <si>
    <t>Xe ô tô tải VAN nhãn hiệu Vinfast Ec Van (xe điện)(xe điện) P2KR01; 2 chỗ ngồi, tay lái thuận, mới 100%;   Màu Xanh Lá Nhạt; SK:RNXVGRPK3TT702498 -  SM:TZ155XZC03025111600024. Số Serial PIN: BAT64000020AC2102174251020N10094</t>
  </si>
  <si>
    <t>2ECVAN-T702498</t>
  </si>
  <si>
    <t>2C04585</t>
  </si>
  <si>
    <t>Xe ô tô con Vinfast VF5 Plus(xe điện) S5EJ06; 5 chỗ ngồi; tay lái thuận, mới 100%;   Màu Xám; SK:RLNV5JSE1TH739581 -  SM:VFCAFB263280257. Số Serial PIN: Z50066260127DGR057</t>
  </si>
  <si>
    <t>2VF5-H739581</t>
  </si>
  <si>
    <t>2C04729</t>
  </si>
  <si>
    <t>Xe ô tô con Vinfast LIMO GREEN(xe điện) N7TP01; 7 chỗ ngồi, tay lái thuận, mới 100%;   Màu Bạc; SK:RLLVFPNT8SH874882 -  SM:ENBALB25A200101. Số Serial PIN: L73152250827D60142</t>
  </si>
  <si>
    <t>2LMO-H874882</t>
  </si>
  <si>
    <t>2C04715</t>
  </si>
  <si>
    <t>Xe ô tô con Vinfast VF5 Plus(xe điện) S5EJ01; 5 chỗ ngồi; tay lái thuận, mới 100%;   MÀU TRẮNG; SK:RLNV5JSE6TH714191 -  SM:VFCAFB261230050. Số Serial PIN: Z50066251230NGR124</t>
  </si>
  <si>
    <t>2VF5-H714191</t>
  </si>
  <si>
    <t>2C04716</t>
  </si>
  <si>
    <t>Xe ô tô con VINFAST VF MPV 7(xe điện) T7TP01; 7 chỗ ngồi, tay lái thuận, mới 100%;   Màu Đen; SK:RLLVFPTT1TH722897 -  SM:ENBALB25C160052. Số Serial PIN: L73152260105D50164</t>
  </si>
  <si>
    <t>2MP7-H722897</t>
  </si>
  <si>
    <t>2C04625</t>
  </si>
  <si>
    <t>Xe ô tô tải VAN nhãn hiệu Vinfast Ec Van (xe điện)(xe điện) P2KR01; 2 chỗ ngồi, tay lái thuận, mới 100%;   Màu Xanh Lá Nhạt; SK:RNXVGRPK6TT702527 -  SM:TZ155XZC03025112100064. Số Serial PIN: BAT64000020AC2102174251015N30004</t>
  </si>
  <si>
    <t>2ECVAN-T702527</t>
  </si>
  <si>
    <t>2C04626</t>
  </si>
  <si>
    <t>Xe ô tô con Vinfast LIMO GREEN(xe điện) N7TP01; 7 chỗ ngồi, tay lái thuận, mới 100%;   Màu Đỏ; SK:RLLVFPNTXTH701821 -  SM:ENBALB25C020361. Số Serial PIN: L73152251128D40127</t>
  </si>
  <si>
    <t>2LMO-H701821</t>
  </si>
  <si>
    <t>2C04736</t>
  </si>
  <si>
    <t>Xe ô tô con nhãn hiệu Vinfast VF3(xe điện) 94KL04; 4 chỗ ngồi, tay lái thuận, mới 100%;   Màu Vàng; SK:RLNVBL9K3ST715763 -  SM:TZ160X30G25111300718. Số Serial PIN: X33051251215K00227</t>
  </si>
  <si>
    <t>2VF3-T715763</t>
  </si>
  <si>
    <t>2C04732</t>
  </si>
  <si>
    <t>Xe ô tô con Vinfast LIMO GREEN(xe điện) N7TP01; 7 chỗ ngồi, tay lái thuận, mới 100%;   Màu Trắng; SK:RLLVFPNT4TH742347 -  SM:ENBALB25C090298. Số Serial PIN: L73152260104N30004</t>
  </si>
  <si>
    <t>2LMO-H742347</t>
  </si>
  <si>
    <t>2C04728</t>
  </si>
  <si>
    <t>Xe ô tô con VINFAST VF MPV 7(xe điện) T7TP01; 7 chỗ ngồi, tay lái thuận, mới 100%;   Màu Trắng; SK:RLLVFPTT4TH731965 -  SM:ENBALB261170005. Số Serial PIN: L73152251223D40098</t>
  </si>
  <si>
    <t>2MP7-H731965</t>
  </si>
  <si>
    <t>2C04601</t>
  </si>
  <si>
    <t>Xe ô tô con Vinfast VF5 Plus(xe điện) S5EJ06; 5 chỗ ngồi; tay lái thuận, mới 100%;   MÀU TRẮNG; SK:RLNV5JSE6TH736286 -  SM:VFCAFB263200106. Số Serial PIN: Z50066260121DGR127</t>
  </si>
  <si>
    <t>2VF5-H736286</t>
  </si>
  <si>
    <t>2C04742</t>
  </si>
  <si>
    <t>Xe ô tô con nhãn hiệu Vinfast VF3(xe điện) 94KL04 4 chỗ ngồi, tay lái thuận, mới 100%; Màu Xám; SK:RLNVBL9K9ST706159 - SM:TZ160X30G25081400002. Số Serial PIN: X33051251005A00153</t>
  </si>
  <si>
    <t>2VF3-T706159</t>
  </si>
  <si>
    <t>2C04754</t>
  </si>
  <si>
    <t>Xe ô tô con nhãn hiệu Vinfast VF6 PLUs(xe điện) P5CG04; 5 chỗ ngồi; tay lái thuận, mới 100%;   Màu Trắng; SK:RLLVAG8CXTH737325 -  SM:VFBALB263250075. Số Serial PIN: V63051260320A00052</t>
  </si>
  <si>
    <t>2VF6-H737325</t>
  </si>
  <si>
    <t>2C04301</t>
  </si>
  <si>
    <t>Xe ô tô con nhãn hiệu Vinfast VF3 Plus(xe điện) 94KL05; 4 chỗ ngồi, tay lái thuận, mới 100%;   Màu Trắng; SK:RLNVBL9K3TT711956 -  SM:TZ160X30G26011400087. Số Serial PIN: Y33051260318K00221</t>
  </si>
  <si>
    <t>2VF3-T711956</t>
  </si>
  <si>
    <t>2C04720</t>
  </si>
  <si>
    <t>Xe ô tô con Vinfast LIMO GREEN(xe điện) N7TP01; 7 chỗ ngồi, tay lái thuận, mới 100%;   Màu Bạc; SK:RLLVFPNT4TH703161 -  SM:ENBALB25C070119. Số Serial PIN: L73152251028N50180</t>
  </si>
  <si>
    <t>2LMO-H703161</t>
  </si>
  <si>
    <t>2C04588</t>
  </si>
  <si>
    <t>Xe ô tô con nhãn hiệu Vinfast VF3 Eco(xe điện) 94KL04; 4 chỗ ngồi, tay lái thuận, mới 100%;   Màu Trắng; SK:RLNVBL9KXTT708326 -  SM:TZ160X30G26010300026. Số Serial PIN: Y33051260209K00023</t>
  </si>
  <si>
    <t>2VF3-T708326</t>
  </si>
  <si>
    <t>2C04637</t>
  </si>
  <si>
    <t>Xe ô tô con nhãn hiệu Vinfast VF3(xe điện) 94KL04; 4 chỗ ngồi, tay lái thuận, mới 100%;   Màu Xanh Lá Nhạt; SK:RLNVBL9K5ST716641 -  SM:TZ160X30G25112800132. Số Serial PIN: X33051251213K00064</t>
  </si>
  <si>
    <t>2VF3-T716641</t>
  </si>
  <si>
    <t>2C04757</t>
  </si>
  <si>
    <t>Xe ô tô con Vinfast LIMO GREEN(xe điện) N7TP01; 7 chỗ ngồi, tay lái thuận, mới 100%;   Màu Trắng; SK:RLLVFPNTXTH743647 -  SM:ENBALB263040270. Số Serial PIN: L73152260120N50069</t>
  </si>
  <si>
    <t>2LMO-H743647</t>
  </si>
  <si>
    <t>2C04606</t>
  </si>
  <si>
    <t>Xe ô tô con nhãn hiệu Vinfast VF3 Plus(xe điện) 94KL05; 4 chỗ ngồi, tay lái thuận, mới 100%;   Màu Trắng; SK:RLNVBL9K2TT711981 -  SM:TZ160X30G25112700528. Số Serial PIN: Y33051260318K00035</t>
  </si>
  <si>
    <t>2VF3-T711981</t>
  </si>
  <si>
    <t>2C04756</t>
  </si>
  <si>
    <t>Xe ô tô con nhãn hiệu Vinfast VF3 Plus(xe điện) 94KL05; 4 chỗ ngồi, tay lái thuận, mới 100%;   Màu Trắng; SK:RLNVBL9K8TT712018 -  SM:TZ160X30G26010700313. Số Serial PIN: Y33051260318K00126</t>
  </si>
  <si>
    <t>2VF3-T712018</t>
  </si>
  <si>
    <t>2C04582</t>
  </si>
  <si>
    <t>Xe ô tô con Vinfast VF5 Plus(xe điện) S5EJ06; 5 chỗ ngồi; tay lái thuận, mới 100%;   MÀU TRẮNG; SK:RLNV5JSEXTH735951 -  SM:VFCAFB263180083. Số Serial PIN: Z50066260125NBU058</t>
  </si>
  <si>
    <t>2VF5-H735951</t>
  </si>
  <si>
    <t>2C04755</t>
  </si>
  <si>
    <t>Xe ô tô con Vinfast VF5 Plus(xe điện) S5EJ06; 5 chỗ ngồi; tay lái thuận, mới 100%;   MÀU TRẮNG; SK:RLNV5JSEXTH736419 -  SM:VFCAFB263210062. Số Serial PIN: Z50066260124DBU001</t>
  </si>
  <si>
    <t>2VF5-H736419</t>
  </si>
  <si>
    <t>2C04332</t>
  </si>
  <si>
    <t>Xe ô tô tải VAN nhãn hiệu Vinfast Ec Van (xe điện)(xe điện) R2KR01; 2 chỗ ngồi, tay lái thuận, mới 100%;   Màu Đỏ; SK:RNXVGRPK4TT712487 -  SM:TZ155XZC03026013100074. Số Serial PIN: BAT64000020AC2102174260131N30127</t>
  </si>
  <si>
    <t>2VAN-T712487</t>
  </si>
  <si>
    <t>2C04357</t>
  </si>
  <si>
    <t>Xe ô tô con Vinfast LIMO GREEN(xe điện) N7TP01; 7 chỗ ngồi, tay lái thuận, mới 100%;   Màu Trắng; SK:RLLVFPNTXTH742384 -  SM:ENBALB262020058. Số Serial PIN: L73152260128D30099</t>
  </si>
  <si>
    <t>2LMO-H742384</t>
  </si>
  <si>
    <t>2C04650</t>
  </si>
  <si>
    <t>Xe ô tô con Vinfast VF5 Plus(xe điện) S5EJ06; 5 chỗ ngồi; tay lái thuận, mới 100%;   MÀU ĐỎ; SK:RLNV5JSE3TH739954 -  SM:VFCAFB263280307. Số Serial PIN: Z50066260318DBU093</t>
  </si>
  <si>
    <t>2VF5-H739954</t>
  </si>
  <si>
    <t>2C0474</t>
  </si>
  <si>
    <t>Xe ô tô con nhãn hiệu Vinfast VF3 Eco(xe điện) 94KL04; 4 chỗ ngồi, tay lái thuận, mới 100%;   Màu Xám; SK:RLNVBL9K6TT710655 -  SM:TZ160X30G26010600559. Số Serial PIN: Y33051260305K00042</t>
  </si>
  <si>
    <t>2VF3-T710655</t>
  </si>
  <si>
    <t>3089</t>
  </si>
  <si>
    <t>Điều chỉnh do báo sai giá</t>
  </si>
  <si>
    <t>2C04738</t>
  </si>
  <si>
    <t>Xe ô tô con Vinfast LIMO GREEN(xe điện) N7TP01; 7 chỗ ngồi, tay lái thuận, mới 100%;   Màu Đỏ; SK:RLLVFPNT7TH713005 -  SM:ENBALB25C290077. Số Serial PIN: L73152251215D60194</t>
  </si>
  <si>
    <t>2LMO-H713005</t>
  </si>
  <si>
    <t>C204704</t>
  </si>
  <si>
    <t>Xe ô tô con Vinfast VF5 Plus(xe điện) S5EJ06; 5 chỗ ngồi; tay lái thuận, mới 100%;   MÀU TRẮNG; SK:RLNV5JSEXTH735738 -  SM:VFCAFB263170007. Số Serial PIN: Z50066260119NBU039</t>
  </si>
  <si>
    <t>2VF5-H735738</t>
  </si>
  <si>
    <t>2C04629</t>
  </si>
  <si>
    <t>Xe ô tô con Vinfast LIMO GREEN(xe điện) N7TP01; 7 chỗ ngồi, tay lái thuận, mới 100%;   Màu Bạc; SK:RLLVFPNT7TH702991 -  SM:ENBALB25C020398. Số Serial PIN: L73152251127N40179</t>
  </si>
  <si>
    <t>2LMO-H702991</t>
  </si>
  <si>
    <t>2C04605</t>
  </si>
  <si>
    <t>Xe ô tô con nhãn hiệu Vinfast VF3 Plus(xe điện) 94KL05; 4 chỗ ngồi, tay lái thuận, mới 100%;   Màu Xám; SK:RLNVBL9K8TT710186 -  SM:TZ160X30G26010500401. Số Serial PIN: Y33051260302K00107</t>
  </si>
  <si>
    <t>2VF3-T710186</t>
  </si>
  <si>
    <t>2C04730</t>
  </si>
  <si>
    <t>Xe ô tô con nhãn hiệu Vinfast VF3 Plus(xe điện) 94KL05; 4 chỗ ngồi, tay lái thuận, mới 100%;   Màu Xám; SK:RLNVBL9K9TT713372 -  SM:TZ160X30G26011700372. Số Serial PIN: Y33051260325K00113</t>
  </si>
  <si>
    <t>2VF3-T713372</t>
  </si>
  <si>
    <t>2C04768</t>
  </si>
  <si>
    <t>Xe ô tô con nhãn hiệu Vinfast VF3 Eco(xe điện) 94KL04; 4 chỗ ngồi, tay lái thuận, mới 100%;   Màu Trắng; SK:RLNVBL9K5TT712767 -  SM:TZ160X30G26010500652. Số Serial PIN: Y33051260321K00141</t>
  </si>
  <si>
    <t>2VF3-T712767</t>
  </si>
  <si>
    <t>2C04676</t>
  </si>
  <si>
    <t>Xe ô tô con Vinfast LIMO GREEN(xe điện) N7TP01; 7 chỗ ngồi, tay lái thuận, mới 100%;   Màu Đỏ; SK:RLLVFPNT0TH720314 -  SM:ENBALB261070467. Số Serial PIN: L73152260121N50074</t>
  </si>
  <si>
    <t>2LMO-H720314</t>
  </si>
  <si>
    <t>2C04639</t>
  </si>
  <si>
    <t>Xe ô tô con VINFAST VF MPV 7(xe điện) T7TP01; 7 chỗ ngồi, tay lái thuận, mới 100%;   Màu Xám; SK:RLLVFPTT8TH723318 -  SM:ENBALB25C270072. Số Serial PIN: L73152260113D50083</t>
  </si>
  <si>
    <t>2MP7-H723318</t>
  </si>
  <si>
    <t>2C04727</t>
  </si>
  <si>
    <t>Xe ô tô con Vinfast LIMO GREEN(xe điện) N7TP01; 7 chỗ ngồi, tay lái thuận, mới 100%;   Màu Trắng; SK:RLLVFPNT3TH742839 -  SM:ENBALB261310043. Số Serial PIN: L73152260123N50009</t>
  </si>
  <si>
    <t>2LMO-H742839</t>
  </si>
  <si>
    <t>2C04698</t>
  </si>
  <si>
    <t>Xe ô tô con nhãn hiệu Vinfast VF3(xe điện) 94KL04; 4 chỗ ngồi, tay lái thuận, mới 100%;   Màu Xanh Lá Nhạt; SK:RLNVBL9KXST716957 -  SM:TZ160X30G25112800164. Số Serial PIN: X33051251213K00010</t>
  </si>
  <si>
    <t>2VF3-T716957</t>
  </si>
  <si>
    <t>2C04687</t>
  </si>
  <si>
    <t>Xe ô tô con Vinfast LIMO GREEN(xe điện) N7TP01; 7 chỗ ngồi, tay lái thuận, mới 100%;   Màu Bạc; SK:RLLVFPNT4TH711292 -  SM:ENBALB25C160040. Số Serial PIN: L73152251217D40122</t>
  </si>
  <si>
    <t>2LMO-H711292</t>
  </si>
  <si>
    <t>2C04737</t>
  </si>
  <si>
    <t>Xe ô tô con Vinfast LIMO GREEN(xe điện) N7TP01; 7 chỗ ngồi, tay lái thuận, mới 100%;   Màu Đỏ; SK:RLLVFPNT7TH712291 -  SM:ENBALB25C150191. Số Serial PIN: L73152251212D30050</t>
  </si>
  <si>
    <t>2LMO-H712291</t>
  </si>
  <si>
    <t>Xe ô tô con nhãn hiệu Vinfast VF6 PLUs(xe điện) P5CG04; 5 chỗ ngồi; tay lái thuận, mới 100%;   Màu Trắng; SK:RLLVAG8C6TH736561 -  SM:VFBALB263200095. Số Serial PIN: V63051260319D00096</t>
  </si>
  <si>
    <t>2VF6-H736561</t>
  </si>
  <si>
    <t>2C04701</t>
  </si>
  <si>
    <t>Xe ô tô con VINFAST VF MPV 7(xe điện) T7TP01; 7 chỗ ngồi, tay lái thuận, mới 100%;   Màu Trắng; SK:RLLVFPTT4TH724210 -  SM:ENBALB25C180212. Số Serial PIN: L73152251227N40215</t>
  </si>
  <si>
    <t>2MP7-H724210</t>
  </si>
  <si>
    <t>2C04773</t>
  </si>
  <si>
    <t>Xe ô tô con Vinfast LIMO GREEN(xe điện) N7TP01; 7 chỗ ngồi, tay lái thuận, mới 100%;   Màu Trắng; SK:RLLVFPNT2TH747241 -  SM:ENBALB263020154. Số Serial PIN: L73152260123D60014</t>
  </si>
  <si>
    <t>2LMO-H747241</t>
  </si>
  <si>
    <t>2C04632</t>
  </si>
  <si>
    <t>Xe ô tô con Vinfast VF5 Plus(xe điện) S5EJ01; 5 chỗ ngồi; tay lái thuận, mới 100%;   MÀU TRẮNG; SK:RLNV5JSE3TH717324 -  SM:VFCAFB261210113. Số Serial PIN: Z50066260107NGR106</t>
  </si>
  <si>
    <t>2VF5-H717324</t>
  </si>
  <si>
    <t>2C01075</t>
  </si>
  <si>
    <t>Xe ô tô con VINFAST VF MPV 7(xe điện) T7TP01; 7 chỗ ngồi, tay lái thuận, mới 100%;   Màu Trắng; SK:RLLVFPTT1TH733771 -  SM:ENBALB261090096. Số Serial PIN: L73152260113N30008</t>
  </si>
  <si>
    <t>2MP7-H733771</t>
  </si>
  <si>
    <t>2C04779</t>
  </si>
  <si>
    <t>Xe ô tô con nhãn hiệu Vinfast VF3(xe điện) 94KL04; 4 chỗ ngồi, tay lái thuận, mới 100%;   Màu Vàng; SK:RLNVBL9K3ST715634 -  SM:TZ160X30G25111300070. Số Serial PIN: X33051251216K00086</t>
  </si>
  <si>
    <t>2VF3-T715634</t>
  </si>
  <si>
    <t>2C04784</t>
  </si>
  <si>
    <t>Xe ô tô con nhãn hiệu Vinfast VF3 Eco(xe điện) 94KL04; 4 chỗ ngồi, tay lái thuận, mới 100%;   Màu Đỏ; SK:RLNVBL9K1TT701426 -  SM:TZ160X30G25111400058. Số Serial PIN: Y33051260103K00099</t>
  </si>
  <si>
    <t>2VF3-T701426</t>
  </si>
  <si>
    <t>2C04786</t>
  </si>
  <si>
    <t>Xe ô tô con Vinfast LIMO GREEN(xe điện) N7TP01; 7 chỗ ngồi, tay lái thuận, mới 100%;   Màu Bạc; SK:RLLVFPNT6TH714839 -  SM:ENBALB25C200239. Số Serial PIN: L73152251220N30025</t>
  </si>
  <si>
    <t>2LMO-H714839</t>
  </si>
  <si>
    <t>2C04678</t>
  </si>
  <si>
    <t>Xe ô tô con VINFAST VF MPV 7(xe điện) T7TP01; 7 chỗ ngồi, tay lái thuận, mới 100%;   Màu Trắng; SK:RLLVFPTT6TH731935 -  SM:ENBALB261060141. Số Serial PIN: L73152260117N30013</t>
  </si>
  <si>
    <t>2MP7-H731935</t>
  </si>
  <si>
    <t>2C04783</t>
  </si>
  <si>
    <t>Xe ô tô con VINFAST VF MPV 7(xe điện) T7TP01; 7 chỗ ngồi, tay lái thuận, mới 100%;   Màu Trắng; SK:RLLVFPTT8TH733752 -  SM:ENBALB25C290291. Số Serial PIN: L73152260103N30032</t>
  </si>
  <si>
    <t>2MP7-H733752</t>
  </si>
  <si>
    <t>2C04583</t>
  </si>
  <si>
    <t>Xe ô tô con nhãn hiệu Vinfast VF3 Plus(xe điện) 94KL05; 4 chỗ ngồi, tay lái thuận, mới 100%;   Màu Xanh Lá Nhạt; SK:RLNVBL9K1TT712118 -  SM:TZ160X30G26011400597. Số Serial PIN: Y33051260323K00044</t>
  </si>
  <si>
    <t>2VF3-T712118</t>
  </si>
  <si>
    <t>Xe ô tô con nhãn hiệu Vinfast VF3 Plus(xe điện) 94KL05; 4 chỗ ngồi, tay lái thuận, mới 100%;   Màu Đỏ; SK:RLNVBL9K2TT709020 -  SM:TZ160X30G26010700290. Số Serial PIN: Y33051260210K00004</t>
  </si>
  <si>
    <t>2VF3-T709020</t>
  </si>
  <si>
    <t>Xe ô tô con nhãn hiệu Vinfast VF3 Plus(xe điện) 94KL05; 4 chỗ ngồi, tay lái thuận, mới 100%;   Màu Trắng; SK:RLNVBL9K3TT711875 -  SM:TZ160X30G26010600728. Số Serial PIN: Y33051260318K00215</t>
  </si>
  <si>
    <t>2VF3-T711875</t>
  </si>
  <si>
    <t>3272</t>
  </si>
  <si>
    <t>2VF5-H702757</t>
  </si>
  <si>
    <t>2C04774</t>
  </si>
  <si>
    <t>Xe ô tô con nhãn hiệu Vinfast VF3 Plus(xe điện) 94KL05; 4 chỗ ngồi, tay lái thuận, mới 100%;   Màu Hồng Phấn; SK:RLNVBL9K4TT713277 -  SM:TZ160X30G26011700513. Số Serial PIN: Y33051260324K00249</t>
  </si>
  <si>
    <t>2VF3-T713277</t>
  </si>
  <si>
    <t>2C04711</t>
  </si>
  <si>
    <t>Xe ô tô con nhãn hiệu Vinfast VF7 PLUS(xe điện) K5CF01; 5 chỗ ngồi; tay lái thuận, mới 100%;   MÀU TRẮNG; SK:RLLV3FKC6TH742051 -  SM:VFBALB264020078. Số Serial PIN: Y72174260311D00049</t>
  </si>
  <si>
    <t>2VF7-H742051</t>
  </si>
  <si>
    <t>2C04590</t>
  </si>
  <si>
    <t>Xe ô tô con nhãn hiệu Vinfast VF7 ECo(xe điện) 55DF02; 5 chỗ ngồi; tay lái thuận, mới 100%;   MÀU ĐEN; SK:RLLV3F5D3TH727463 -  SM:VFCAJB262120002. Số Serial PIN: V73051260212A00007</t>
  </si>
  <si>
    <t>2VF7-H727463</t>
  </si>
  <si>
    <t>2C04792</t>
  </si>
  <si>
    <t>Xe ô tô con nhãn hiệu Vinfast VF7 ECo(xe điện) 55DF02; 5 chỗ ngồi; tay lái thuận, mới 100%;   MÀU TRẮNG; SK:RLLV3F5D1SH888618 -  SM:VFCAJB25C220105. Số Serial PIN: V73051251218A00049</t>
  </si>
  <si>
    <t>2VF7-H888618</t>
  </si>
  <si>
    <t>2C04791</t>
  </si>
  <si>
    <t>Xe ô tô con VINFAST VF MPV 7(xe điện) T7TP01; 7 chỗ ngồi, tay lái thuận, mới 100%;   Màu Trắng; SK:RLLVFPTT6TH732633 -  SM:ENBALB261090541. Số Serial PIN: L73152260126D30089</t>
  </si>
  <si>
    <t>2MP7-H732633</t>
  </si>
  <si>
    <t>2C04651</t>
  </si>
  <si>
    <t>Xe ô tô con nhãn hiệu Vinfast VF3 Plus(xe điện) 94KL05; 4 chỗ ngồi, tay lái thuận, mới 100%;   Màu Trắng; SK:RLNVBL9K7TT709725 -  SM:TZ160X30G26010500788. Số Serial PIN: Y33051260223K00016</t>
  </si>
  <si>
    <t>2VF3-TT709725</t>
  </si>
  <si>
    <t>2C04782</t>
  </si>
  <si>
    <t>Xe ô tô con Vinfast LIMO GREEN(xe điện) N7TP01; 7 chỗ ngồi, tay lái thuận, mới 100%;   Màu Trắng; SK:RLLVFPNT1TH743021 -  SM:ENBALB263040039. Số Serial PIN: L73152260120N50198</t>
  </si>
  <si>
    <t>2LMO-H743021</t>
  </si>
  <si>
    <t>2C04790</t>
  </si>
  <si>
    <t>2VF3-T716429</t>
  </si>
  <si>
    <t>2C04793</t>
  </si>
  <si>
    <t>Xe ô tô con nhãn hiệu Vinfast VF3(xe điện) 94KL04; 4 chỗ ngồi, tay lái thuận, mới 100%;   Màu Vàng; SK:RLNVBL9K3ST715648 -  SM:TZ160X30G25111200417. Số Serial PIN: X33051251204K00099</t>
  </si>
  <si>
    <t>2VF3-T715648</t>
  </si>
  <si>
    <t>2C04648</t>
  </si>
  <si>
    <t>Xe ô tô tải VAN nhãn hiệu Vinfast Ec Van (xe điện)(xe điện) R2KR01; 2 chỗ ngồi, tay lái thuận, mới 100%;   Màu Đỏ; SK:RNXVGRPK7TT712466 -  SM:TZ155XZC03026012800031. Số Serial PIN: BAT64000020AC2102174260201D30018</t>
  </si>
  <si>
    <t>2VAN-T712466</t>
  </si>
  <si>
    <t>2C04800</t>
  </si>
  <si>
    <t>Xe ô tô con nhãn hiệu Vinfast VF3 Plus(xe điện) 94KL05; 4 chỗ ngồi, tay lái thuận, mới 100%;   Màu Trắng; SK:RLNVBL9K5TT713711 -  SM:TZ160X30G26011800140. Số Serial PIN: Y33051260324K00010</t>
  </si>
  <si>
    <t>2VF3-T713711</t>
  </si>
  <si>
    <t>2C04685</t>
  </si>
  <si>
    <t>Xe ô tô con nhãn hiệu Vinfast VF3 Eco(xe điện) 94KL04; 4 chỗ ngồi, tay lái thuận, mới 100%;   Màu Trắng; SK:RLNVBL9K3TT714159 -  SM:TZ160X30G26011900311. Số Serial PIN: Y33051260327K00201</t>
  </si>
  <si>
    <t>2VF3-T714159</t>
  </si>
  <si>
    <t>2C04801</t>
  </si>
  <si>
    <t>Xe ô tô con Vinfast VF5 Plus(xe điện) S5EJ06; 5 chỗ ngồi; tay lái thuận, mới 100%;   MÀU TRẮNG; SK:RLNV5JSE7TH736376 -  SM:VFCAFB263200023. Số Serial PIN: Z50066260124NBU071</t>
  </si>
  <si>
    <t>2VF5-H736376</t>
  </si>
  <si>
    <t>3387</t>
  </si>
  <si>
    <t>2C04098</t>
  </si>
  <si>
    <t>NGUYỄN THỊ MINH PHƯƠNG</t>
  </si>
  <si>
    <t>Xe ô tô con nhãn hiệu Vinfast VF6 PLUs(xe điện) P5CG04; 5 chỗ ngồi; tay lái thuận, mới 100%;   Màu Đen; SK:RLLVAG8C6TH728220 -  SM:VFBALB262020034. Số Serial PIN: V63051260205A00049</t>
  </si>
  <si>
    <t>2VF6-H728220</t>
  </si>
  <si>
    <t>2C04803</t>
  </si>
  <si>
    <t>Xe ô tô con nhãn hiệu Vinfast VF 6 ECO(xe điện) N5DG04; 5 chỗ ngồi; tay lái thuận, mới 100%;   Màu Xanh Lá Nhạt; SK:RLLVAGND3TH707970 -  SM:VFCAJB261050056. Số Serial PIN: V63051260108D00228</t>
  </si>
  <si>
    <t>2VF6-H707970</t>
  </si>
  <si>
    <t>2C04804</t>
  </si>
  <si>
    <t>Xe ô tô con nhãn hiệu Vinfast VF3 Plus(xe điện) 94KL05; 4 chỗ ngồi, tay lái thuận, mới 100%;   Màu Vàng; SK:RLNVBL9K7TT712611 -  SM:TZ160X30G25122400113. Số Serial PIN: Y33051260321K00194</t>
  </si>
  <si>
    <t>2VF3-T712611</t>
  </si>
  <si>
    <t>2S00421</t>
  </si>
  <si>
    <t>Xe ô tô con nhãn hiệu Vinfast VF3(xe điện) 94KL04; 4 chỗ ngồi, tay lái thuận, mới 100%;   Màu Vàng; SK:RLNVBL9K1ST715437 -  SM:TZ160X30G25111400101. Số Serial PIN: X33051251203K00074</t>
  </si>
  <si>
    <t>2VF3-T715437</t>
  </si>
  <si>
    <t>Xe ô tô con nhãn hiệu Vinfast VF3(xe điện) 94KL04; 4 chỗ ngồi, tay lái thuận, mới 100%;   Màu Vàng; SK:RLNVBL9KXST716134 -  SM:TZ160X30G25101200474. Số Serial PIN: X33051251216K00091</t>
  </si>
  <si>
    <t>2VF3-T716134</t>
  </si>
  <si>
    <t>2C04579</t>
  </si>
  <si>
    <t>Xe ô tô con nhãn hiệu Vinfast VF6 PLUs(xe điện) P5CG04; 5 chỗ ngồi; tay lái thuận, mới 100%;   Màu Trắng; SK:RLLVAG8C9TH741687 -  SM:VFBALB263270015. Số Serial PIN: V63051260314A00009</t>
  </si>
  <si>
    <t>2VF6-H741687</t>
  </si>
  <si>
    <t>2C04599</t>
  </si>
  <si>
    <t>Xe ô tô con Vinfast VF5 Plus(xe điện) S5EJ06; 5 chỗ ngồi; tay lái thuận, mới 100%;   Màu Xám; SK:RLNV5JSE3TH739565 -  SM:VFCAFB263280252. Số Serial PIN: Z50066260127NGR220</t>
  </si>
  <si>
    <t>2VF5-H739565</t>
  </si>
  <si>
    <t>2C04815</t>
  </si>
  <si>
    <t>Xe ô tô con nhãn hiệu Vinfast VF3 Plus(xe điện) 94KL05; 4 chỗ ngồi, tay lái thuận, mới 100%;   Màu Xám; SK:RLNVBL9K8TT713430 -  SM:TZ160X30G26011800114. Số Serial PIN: Y33051260326K00013</t>
  </si>
  <si>
    <t>2VF3-T713430</t>
  </si>
  <si>
    <t>2C04717</t>
  </si>
  <si>
    <t>Xe ô tô con nhãn hiệu Vinfast VF9 Plus(xe điện) F7AC01; 7 chỗ ngồi; tay lái thuận, mới 100%;   MÀU ĐEN; SK:RLLV2CFA5TH703199 -  SM1:VFBALB25B170094;  SM2:VFBALA25A040061. Số Serial PIN: F91072250120H00029</t>
  </si>
  <si>
    <t>2VF9-H703199</t>
  </si>
  <si>
    <t>2C04823</t>
  </si>
  <si>
    <t>Xe ô tô con nhãn hiệu Vinfast VF7 PLUS(xe điện) K5BE01; 5 chỗ ngồi; tay lái thuận, mới 100%;   Màu XÁM; SK:RLLV3EKBXSH879204 -  SM1:VFCAJB25C090127;  SM2:VFCAJB25C020059. Số Serial PIN: Z72174251121D00052</t>
  </si>
  <si>
    <t>2VF7-H879204</t>
  </si>
  <si>
    <t>2C04824</t>
  </si>
  <si>
    <t>Xe ô tô con Vinfast VF5 Plus(xe điện) S5EJ06; 5 chỗ ngồi; tay lái thuận, mới 100%;   MÀU XANH LÁ NHẠT; SK:RLNV5JSE8TH747175 -  SM:VFCAFB264090048. Số Serial PIN: Z50066260204DGR025</t>
  </si>
  <si>
    <t>2VF5-H747175</t>
  </si>
  <si>
    <t>2C04796</t>
  </si>
  <si>
    <t>Xe ô tô con nhãn hiệu Vinfast VF3 Plus(xe điện) 94KL05; 4 chỗ ngồi, tay lái thuận, mới 100%;   Màu Trắng; SK:RLNVBL9K2TT709857 -  SM:TZ160X30G26011400495. Số Serial PIN: Y33051260227K00065</t>
  </si>
  <si>
    <t>2VF3-T709857</t>
  </si>
  <si>
    <t>2C04825</t>
  </si>
  <si>
    <t>Xe ô tô con nhãn hiệu Vinfast VF8 PLUS(xe điện) U5AA04; 5 chỗ ngồi; tay lái thuận, mới 100%;   Màu Trắng; SK:RLLV1AUAXTH997323 -  SM1:VFBALB25A040005;  SM2:VFBALA259160005. Số Serial PIN: C801072250808J0044</t>
  </si>
  <si>
    <t>2VF8-H997323</t>
  </si>
  <si>
    <t>2C04718</t>
  </si>
  <si>
    <t>Xe ô tô con Vinfast LIMO GREEN(xe điện) N7TP01; 7 chỗ ngồi, tay lái thuận, mới 100%;   Màu Bạc; SK:RLLVFPNTXTH705173 -  SM:ENBALB25B260020. Số Serial PIN: L73152251202D50041</t>
  </si>
  <si>
    <t>2LMO-H705173</t>
  </si>
  <si>
    <t>2C04383</t>
  </si>
  <si>
    <t>Xe ô tô con nhãn hiệu Vinfast VF3 Plus(xe điện) 94KL05; 4 chỗ ngồi, tay lái thuận, mới 100%;   Màu Trắng; SK:RLNVBL9K7TT711958 -  SM:TZ160X30G26011400083. Số Serial PIN: Y33051260318K00133</t>
  </si>
  <si>
    <t>2VF3-T711958</t>
  </si>
  <si>
    <t>2C04827</t>
  </si>
  <si>
    <t>Xe ô tô con Vinfast LIMO GREEN(xe điện) N7TP01; 7 chỗ ngồi, tay lái thuận, mới 100%;   Màu Bạc; SK:RLLVFPNT0TH704744 -  SM:ENBALB25B220123. Số Serial PIN: L73152251208D60051</t>
  </si>
  <si>
    <t>2LMO-H704744</t>
  </si>
  <si>
    <t>3415</t>
  </si>
  <si>
    <t>Điều chỉnh do xuất sai giá</t>
  </si>
  <si>
    <t>2C04828</t>
  </si>
  <si>
    <t>Xe ô tô con Vinfast VF5 Plus(xe điện) S5EJ01; 5 chỗ ngồi; tay lái thuận, mới 100%;   MÀU TRẮNG; SK:RLNV5JSE1SH895604 -  SM:VFCAFB25C290006. Số Serial PIN: Z50066251213NGR009</t>
  </si>
  <si>
    <t>2VF5-H895604</t>
  </si>
  <si>
    <t>2C04739</t>
  </si>
  <si>
    <t>Xe ô tô con nhãn hiệu Vinfast VF3(xe điện) 94KL04; 4 chỗ ngồi, tay lái thuận, mới 100%;   Màu Vàng; SK:RLNVBL9K5ST716185 -  SM:TZ160X30G25111300479. Số Serial PIN: X33051251214K00267</t>
  </si>
  <si>
    <t>2VF3-T716185</t>
  </si>
  <si>
    <t>2C04829</t>
  </si>
  <si>
    <t>Xe ô tô con nhãn hiệu Vinfast VF3 Plus(xe điện) 94KL05; 4 chỗ ngồi, tay lái thuận, mới 100%;   Màu Trắng; SK:RLNVBL9K4TT713943 -  SM:TZ160X30G26011900769. Số Serial PIN: Y33051260327K00223</t>
  </si>
  <si>
    <t>2VF3-T713943</t>
  </si>
  <si>
    <t>2C04830</t>
  </si>
  <si>
    <t>Xe ô tô con Vinfast LIMO GREEN(xe điện) N7TP01; 7 chỗ ngồi, tay lái thuận, mới 100%;   Màu Bạc; SK:RLLVFPNT4TH713186 -  SM:ENBALB25C190272. Số Serial PIN: L73152251218D60098</t>
  </si>
  <si>
    <t>2LMO-H713186</t>
  </si>
  <si>
    <t>2C04740</t>
  </si>
  <si>
    <t>Xe ô tô con nhãn hiệu Vinfast VF3 Plus(xe điện) 94KL05; 4 chỗ ngồi, tay lái thuận, mới 100%;   Màu Trắng; SK:RLNVBL9K9TT713467 -  SM:TZ160X30G26011900054. Số Serial PIN: Y33051260325K00051</t>
  </si>
  <si>
    <t>2VF3-T713467</t>
  </si>
  <si>
    <t>2C04713</t>
  </si>
  <si>
    <t>Xe ô tô con nhãn hiệu Vinfast VF3 Plus(xe điện) 94KL05; 4 chỗ ngồi, tay lái thuận, mới 100%;   Màu Xám; SK:RLNVBL9K9TT712951 -  SM:TZ160X30G25122300164. Số Serial PIN: Y33051260320K00092</t>
  </si>
  <si>
    <t>2VF3-T712951</t>
  </si>
  <si>
    <t>2C04831</t>
  </si>
  <si>
    <t>Xe ô tô con nhãn hiệu Vinfast VF3 Plus(xe điện) 94KL05; 4 chỗ ngồi, tay lái thuận, mới 100%;   Màu Trắng; SK:RLNVBL9KXTT711856 -  SM:TZ160X30G26011400745. Số Serial PIN: Y33051260318K00042</t>
  </si>
  <si>
    <t>2VF3-T711856</t>
  </si>
  <si>
    <t>2C04705</t>
  </si>
  <si>
    <t>Xe ô tô con nhãn hiệu Vinfast VF9 Plus(xe điện) F7AC01; 7 chỗ ngồi; tay lái thuận, mới 100%;   MÀU ĐEN; SK:RLLV2CFA7TH742778 -  SM1:VFBALB263300006;  SM2:VFBALA262080068. Số Serial PIN: F91072250623H00013</t>
  </si>
  <si>
    <t>2VF9-H742778</t>
  </si>
  <si>
    <t>C204707</t>
  </si>
  <si>
    <t>Xe ô tô con Vinfast LIMO GREEN(xe điện) N7TP01; 7 chỗ ngồi, tay lái thuận, mới 100%;   Màu Trắng; SK:RLLVFPNT1TH747327 -  SM:ENBALB262280139. Số Serial PIN: L73152260103D30068</t>
  </si>
  <si>
    <t>2LMO-H747327</t>
  </si>
  <si>
    <t>2C04832</t>
  </si>
  <si>
    <t>Xe ô tô con VINFAST VF MPV 7(xe điện) T7TP01; 7 chỗ ngồi, tay lái thuận, mới 100%;   Màu Đỏ; SK:RLLVFPTT1TH739229 -  SM:ENBALB262030093. Số Serial PIN: L73152260124D50083</t>
  </si>
  <si>
    <t>2MP7-H739229</t>
  </si>
  <si>
    <t>2C04834</t>
  </si>
  <si>
    <t>Xe ô tô con nhãn hiệu Vinfast VF3 Plus(xe điện) 94KL05; 4 chỗ ngồi, tay lái thuận, mới 100%;   Màu Hồng Phấn; SK:RLNVBL9K9TT715543 -  SM:TZ160X30G26011500421. Số Serial PIN: Y33051260409K00076</t>
  </si>
  <si>
    <t>2VF3-T715543</t>
  </si>
  <si>
    <t>2C04288</t>
  </si>
  <si>
    <t>Xe ô tô con VINFAST VF MPV 7(xe điện) T7TP01; 7 chỗ ngồi, tay lái thuận, mới 100%;   Màu Trắng; SK:RLLVFPTT8TH731998 -  SM:ENBALB25C300057. Số Serial PIN: L73152260116D30116</t>
  </si>
  <si>
    <t>2MP7-H731998</t>
  </si>
  <si>
    <t>2C04833</t>
  </si>
  <si>
    <t>Xe ô tô con VINFAST VF MPV 7(xe điện) T7TP01; 7 chỗ ngồi, tay lái thuận, mới 100%;   Màu Trắng; SK:RLLVFPTT7TH733757 -  SM:ENBALB261090279. Số Serial PIN: L73152260117N30038</t>
  </si>
  <si>
    <t>2MP7-H733757</t>
  </si>
  <si>
    <t>2C04836</t>
  </si>
  <si>
    <t>Xe ô tô con VINFAST VF MPV 7(xe điện) T7TP01; 7 chỗ ngồi, tay lái thuận, mới 100%;   Màu Ðỏ; SK:RLLVFPTT8TH740510 -  SM:ENBALB262030111. Số Serial PIN: L73152260123D50171</t>
  </si>
  <si>
    <t>2MP7-H740510</t>
  </si>
  <si>
    <t>2C04686</t>
  </si>
  <si>
    <t>Xe ô tô con nhãn hiệu Vinfast VF3 Plus(xe điện) 94KL05; 4 chỗ ngồi, tay lái thuận, mới 100%;   Màu Xám; SK:RLNVBL9K0TT714135 -  SM:TZ160X30G26011900214. Số Serial PIN: Y33051260324K00229</t>
  </si>
  <si>
    <t>2VF3-T714135</t>
  </si>
  <si>
    <t>2C04835</t>
  </si>
  <si>
    <t>Xe ô tô con nhãn hiệu Vinfast VF7 ECo(xe điện) 55DF02; 5 chỗ ngồi; tay lái thuận, mới 100%;   MÀU TRẮNG; SK:RLLV3F5D7SH878174 -  SM:VFCAJB25B240091. Số Serial PIN: V73051251203G00022</t>
  </si>
  <si>
    <t>2VF7-H878174</t>
  </si>
  <si>
    <t>3518</t>
  </si>
  <si>
    <t>Khách đổi ý không muốn giảm giá trên Hoá Đơn nữa để không ảnh hưởng đến giá trị xe khi khách mua Bảo Hiểm Thân Vỏ xe</t>
  </si>
  <si>
    <t>2C04837</t>
  </si>
  <si>
    <t>Xe ô tô con VINFAST VF MPV 7(xe điện) T7TP01; 7 chỗ ngồi, tay lái thuận, mới 100%;   Màu Trắng; SK:RLLVFPTT7TH732625 -  SM:ENBALB261110121. Số Serial PIN: L73152260127D30073</t>
  </si>
  <si>
    <t>2MP7-H732625</t>
  </si>
  <si>
    <t>2C04840</t>
  </si>
  <si>
    <t>Xe ô tô con nhãn hiệu Vinfast VF3 Plus(xe điện) 94KL05; 4 chỗ ngồi, tay lái thuận, mới 100%;   Màu Xám; SK:RLNVBL9K9TT713517 -  SM:TZ160X30G26011800619. Số Serial PIN: Y33051260325K00097</t>
  </si>
  <si>
    <t>2VF3-T713517</t>
  </si>
  <si>
    <t>2C04702</t>
  </si>
  <si>
    <t>Xe ô tô con Vinfast LIMO GREEN(xe điện) N7TP01; 7 chỗ ngồi, tay lái thuận, mới 100%;   Màu Trắng; SK:RLLVFPNTXTH742823 -  SM:ENBALB263040041. Số Serial PIN: L73152260126D50096</t>
  </si>
  <si>
    <t>2LMO-H742823</t>
  </si>
  <si>
    <t>2C04684</t>
  </si>
  <si>
    <t>Xe ô tô con nhãn hiệu Vinfast VF3 Plus(xe điện) 94KL05; 4 chỗ ngồi, tay lái thuận, mới 100%;   Màu Xám; SK:RLNVBL9K7TT712916 -  SM:TZ160X30G25121800108. Số Serial PIN: Y33051260321K00175</t>
  </si>
  <si>
    <t>2VF3-T712916</t>
  </si>
  <si>
    <t>2C01120</t>
  </si>
  <si>
    <t>Xe ô tô con Vinfast LIMO GREEN(xe điện) N7TP01; 7 chỗ ngồi, tay lái thuận, mới 100%;   Màu Bạc; SK:RLLVFPNT5TH713441 -  SM:ENBALB25C120301. Số Serial PIN: L73152251215D60284</t>
  </si>
  <si>
    <t>2LMO-H713441</t>
  </si>
  <si>
    <t>2C04858</t>
  </si>
  <si>
    <t>Xe ô tô con Vinfast LIMO GREEN(xe điện) N7TP01; 7 chỗ ngồi, tay lái thuận, mới 100%;   Màu Trắng; SK:RLLVFPNT7TH742245 -  SM:ENBALB261300187. Số Serial PIN: L73152260130N50036</t>
  </si>
  <si>
    <t>2LMO-H742245</t>
  </si>
  <si>
    <t>2C04857</t>
  </si>
  <si>
    <t>Xe ô tô con nhãn hiệu Vinfast VF3 Plus(xe điện) 94KL05; 4 chỗ ngồi, tay lái thuận, mới 100%;   Màu Đỏ; SK:RLNVBL9K1TT712362 -  SM:TZ160X30G26011500212. Số Serial PIN: Y33051260319K00092</t>
  </si>
  <si>
    <t>2VF3-T712362</t>
  </si>
  <si>
    <t>2C04860</t>
  </si>
  <si>
    <t>Xe ô tô con VINFAST VF MPV 7(xe điện) T7TP01; 7 chỗ ngồi, tay lái thuận, mới 100%;   Màu Trắng; SK:RLLVFPTT8TH733007 -  SM:ENBALB25C290596. Số Serial PIN: L73152260120D30105</t>
  </si>
  <si>
    <t>2MP7-H733007</t>
  </si>
  <si>
    <t>2C04843</t>
  </si>
  <si>
    <t>Xe ô tô con nhãn hiệu Vinfast VF3 Plus(xe điện) 94KL05; 4 chỗ ngồi, tay lái thuận, mới 100%;   Màu Xám; SK:RLNVBL9K3TT713934 -  SM:TZ160X30G26011800108. Số Serial PIN: Y33051260327K00187</t>
  </si>
  <si>
    <t>2VF3-T713934</t>
  </si>
  <si>
    <t>2C04853</t>
  </si>
  <si>
    <t>Xe ô tô con nhãn hiệu Vinfast VF3 Eco(xe điện) 94KL04; 4 chỗ ngồi, tay lái thuận, mới 100%;   Màu Đỏ; SK:RLNVBL9K2TT701502 -  SM:TZ160X30G25112600090. Số Serial PIN: Y33051251227K00199</t>
  </si>
  <si>
    <t>2VF3-T701502</t>
  </si>
  <si>
    <t>2C04304</t>
  </si>
  <si>
    <t>Xe ô tô con Vinfast VF5 Plus(xe điện) S5EJ06; 5 chỗ ngồi; tay lái thuận, mới 100%;   MÀU TRẮNG; SK:RLNV5JSE9TH736413 -  SM:VFCAFB263210025. Số Serial PIN: Z50066260127DGR252</t>
  </si>
  <si>
    <t>2VF5-H736413</t>
  </si>
  <si>
    <t>Xe ô tô con Vinfast LIMO GREEN(xe điện) N7TP01; 7 chỗ ngồi, tay lái thuận, mới 100%;   Màu Đỏ; SK:RLLVFPNT8TH703602 -  SM:ENBALB25C090223. Số Serial PIN: L73152251202D50052</t>
  </si>
  <si>
    <t>2LMO-H703602</t>
  </si>
  <si>
    <t>2C04870</t>
  </si>
  <si>
    <t>Xe ô tô con nhãn hiệu Vinfast VF3 Plus(xe điện) 94KL05; 4 chỗ ngồi, tay lái thuận, mới 100%;   Màu Đỏ; SK:RLNVBL9K5TT712266 -  SM:TZ160X30G26011400647. Số Serial PIN: Y33051260318K00177</t>
  </si>
  <si>
    <t>2VF3-T712266</t>
  </si>
  <si>
    <t>2C04869</t>
  </si>
  <si>
    <t>Xe ô tô con nhãn hiệu Vinfast VF3(xe điện) 94KL04; 4 chỗ ngồi, tay lái thuận, mới 100%;   Màu XANH DƯƠNG; SK:RLNVBL9K2ST717441 -  SM:TZ160X30G25112800429. Số Serial PIN: X33051251219K00124</t>
  </si>
  <si>
    <t>2VF3-T717441</t>
  </si>
  <si>
    <t>2C04699</t>
  </si>
  <si>
    <t>Xe ô tô con nhãn hiệu Vinfast VF3(xe điện) 94KL04; 4 chỗ ngồi, tay lái thuận, mới 100%;   Màu Xanh Lá Nhạt; SK:RLNVBL9K7ST716401 -  SM:TZ160X30G25112700547. Số Serial PIN: X33051251126K00071</t>
  </si>
  <si>
    <t>2VF3-T716401</t>
  </si>
  <si>
    <t>2C00185</t>
  </si>
  <si>
    <t>Xe ô tô con Vinfast LIMO GREEN(xe điện) N7TP01; 7 chỗ ngồi, tay lái thuận, mới 100%;   Màu Trắng; SK:RLLVFPNT9TH743719 -  SM:ENBALB263030277. Số Serial PIN: L73152260108N30012</t>
  </si>
  <si>
    <t>2LMO-H743719</t>
  </si>
  <si>
    <t>2C04734</t>
  </si>
  <si>
    <t>Xe ô tô con nhãn hiệu Vinfast VF3 Plus(xe điện) 94KL05; 4 chỗ ngồi, tay lái thuận, mới 100%;   Màu Xanh Lá Nhạt; SK:RLNVBL9K9TT713419 -  SM:TZ160X30G26011800667. Số Serial PIN: Y33051260326K00084</t>
  </si>
  <si>
    <t>2VF3-T713419</t>
  </si>
  <si>
    <t>2C04719</t>
  </si>
  <si>
    <t>Xe ô tô con Vinfast LIMO GREEN(xe điện) N7TP01; 7 chỗ ngồi, tay lái thuận, mới 100%;   Màu Trắng; SK:RLLVFPNT8TH742285 -  SM:ENBALB262050128. Số Serial PIN: L73152260124N30033</t>
  </si>
  <si>
    <t>2LMO-H742285</t>
  </si>
  <si>
    <t>2C04876</t>
  </si>
  <si>
    <t>Xe ô tô con Vinfast VF5 Plus(xe điện) S5EJ06; 5 chỗ ngồi; tay lái thuận, mới 100%;   Màu Xám; SK:RLNV5JSE1TH743467 -  SM:VFCAFB264010033. Số Serial PIN: Z50066260314DBU054</t>
  </si>
  <si>
    <t>2VF5-H743467</t>
  </si>
  <si>
    <t>2C04878</t>
  </si>
  <si>
    <t>Xe ô tô con Vinfast LIMO GREEN(xe điện) N7TP01; 7 chỗ ngồi, tay lái thuận, mới 100%;   Màu Trắng; SK:RLLVFPNT8TH747213 -  SM:ENBALB263020151. Số Serial PIN: L73152260124D60170</t>
  </si>
  <si>
    <t>2LMO-H747213</t>
  </si>
  <si>
    <t>2C04888</t>
  </si>
  <si>
    <t>Xe ô tô con VINFAST VF MPV 7(xe điện) T7TP01; 7 chỗ ngồi, tay lái thuận, mới 100%;   Màu Đen; SK:RLLVFPTTXTH739732 -  SM:ENBALB262030005. Số Serial PIN: L73152260124N50005</t>
  </si>
  <si>
    <t>2MP7-H739732</t>
  </si>
  <si>
    <t>2C04889</t>
  </si>
  <si>
    <t>Xe ô tô con Vinfast VF5 Plus(xe điện) S5EJ01; 5 chỗ ngồi; tay lái thuận, mới 100%;   MÀU XANH LÁ NHẠT; SK:RLNV5JSE6TH710660 -  SM:VFCAFB261180145. Số Serial PIN: Z50066251225NGR188</t>
  </si>
  <si>
    <t>2VF5-H710660</t>
  </si>
  <si>
    <t>2C04891</t>
  </si>
  <si>
    <t>Xe ô tô con nhãn hiệu Vinfast VF3 Eco(xe điện) 94KL04; 4 chỗ ngồi, tay lái thuận, mới 100%;   Màu Vàng; SK:RLNVBL9K0TT701918 -  SM:TZ160X30G25120500318. Số Serial PIN: Y33051260110K00048</t>
  </si>
  <si>
    <t>2VF3-T701918</t>
  </si>
  <si>
    <t>2C04890</t>
  </si>
  <si>
    <t>Xe ô tô con Vinfast VF5 Plus(xe điện) S5EJ01; 5 chỗ ngồi; tay lái thuận, mới 100%;   MÀU TRẮNG; SK:RLNV5JSE2TH704242 -  SM:VFCAFB25C270044. Số Serial PIN: Z50066251219DGR035</t>
  </si>
  <si>
    <t>2VF5-H704242</t>
  </si>
  <si>
    <t>2C04875</t>
  </si>
  <si>
    <t>Xe ô tô con Vinfast VF5 Plus(xe điện) S5EJ06; 5 chỗ ngồi; tay lái thuận, mới 100%;   Màu Xám; SK:RLNV5JSEXTH743418 -  SM:VFCAFB264010009. Số Serial PIN: Z50066260307DBU174</t>
  </si>
  <si>
    <t>2VF5-H743418</t>
  </si>
  <si>
    <t>2C04852</t>
  </si>
  <si>
    <t>Xe ô tô con nhãn hiệu Vinfast VF8 ECO (xe điện)(xe điện) T5BA02; 5 chỗ ngồi; tay lái thuận, mới 100%;   Màu Trắng; SK:RLLV1MTC8TH744263 -  SM:VFBALB263280069. Số Serial PIN: C801072250728J0005</t>
  </si>
  <si>
    <t>2VF8-H744263</t>
  </si>
  <si>
    <t>2C04903</t>
  </si>
  <si>
    <t>Xe ô tô con VINFAST VF MPV 7(xe điện) T7TP01; 7 chỗ ngồi, tay lái thuận, mới 100%;   Màu Đen; SK:RLLVFPTT0TH718307 -  SM:ENBALB25B240497. Số Serial PIN: L73152251215D60133</t>
  </si>
  <si>
    <t>2MP7-H718307</t>
  </si>
  <si>
    <t>2C04892</t>
  </si>
  <si>
    <t>Xe ô tô con nhãn hiệu Vinfast VF3 Plus(xe điện) 94KL05; 4 chỗ ngồi, tay lái thuận, mới 100%;   Màu Đỏ; SK:RLNVBL9K2TT713116 -  SM:TZ160X30G26011500625. Số Serial PIN: Y33051260325K00026</t>
  </si>
  <si>
    <t>2VF3-T713116</t>
  </si>
  <si>
    <t>2C04905</t>
  </si>
  <si>
    <t>Xe ô tô con Vinfast VF5 Plus(xe điện) S5EJ06; 5 chỗ ngồi; tay lái thuận, mới 100%;   MÀU TRẮNG; SK:RLNV5JSE9TH741031 -  SM:VFCAFB263310288. Số Serial PIN: Z50066260310NBU003</t>
  </si>
  <si>
    <t>2VF5-H741031</t>
  </si>
  <si>
    <t>2C04904</t>
  </si>
  <si>
    <t>Xe ô tô con nhãn hiệu Vinfast VF3 Eco(xe điện) 94KL04; 4 chỗ ngồi, tay lái thuận, mới 100%;   Màu Trắng; SK:RLNVBL9K8TT715534 -  SM:TZ160X30G26011900442. Số Serial PIN: Y33051260411K00038</t>
  </si>
  <si>
    <t>2VF3-T715534</t>
  </si>
  <si>
    <t>2NV00067</t>
  </si>
  <si>
    <t>Xe ô tô con nhãn hiệu Vinfast VF7 PLUS(xe điện) K5CF01; 5 chỗ ngồi; tay lái thuận, mới 100%;   MÀU TRẮNG; SK:RLLV3EKB2TH748026 -  SM1:VFCAJB264020214;  SM2:VFCAJB262030057. Số Serial PIN: Z72174260226N00021</t>
  </si>
  <si>
    <t>2VF7-H748026</t>
  </si>
  <si>
    <t>2C04635</t>
  </si>
  <si>
    <t>Xe ô tô con Vinfast VF5 Plus(xe điện) S5EJ01; 5 chỗ ngồi; tay lái thuận, mới 100%;   MÀU TRẮNG; SK:RLNV5JSE8TH706884 -  SM:VFCAFB261060258. Số Serial PIN: Z50066251218DGR053</t>
  </si>
  <si>
    <t>2VF5-H706884</t>
  </si>
  <si>
    <t>2C04901</t>
  </si>
  <si>
    <t>Xe ô tô con nhãn hiệu Vinfast VF7 PLUS(xe điện) K5CF01; 5 chỗ ngồi; tay lái thuận, mới 100%;   MÀU ĐỎ; SK:RLLV3FKC9TH741234 -  SM:VFBALB263160031. Số Serial PIN: Y72174260211D00039</t>
  </si>
  <si>
    <t>2VF7-H741234</t>
  </si>
  <si>
    <t>2C04849</t>
  </si>
  <si>
    <t>Xe ô tô con nhãn hiệu Vinfast VF6 PLUs(xe điện) P5CG04; 5 chỗ ngồi; tay lái thuận, mới 100%;   MÀU XÁM; SK:RLLVAG8C2TH740140 -  SM:VFBALB263260047. Số Serial PIN: V63051260321A00008</t>
  </si>
  <si>
    <t>2VF6-H740140</t>
  </si>
  <si>
    <t>2C04855</t>
  </si>
  <si>
    <t>Xe ô tô con nhãn hiệu Vinfast VF3 Plus(xe điện) 94KL05; 4 chỗ ngồi, tay lái thuận, mới 100%;   Màu Đỏ; SK:RLNVBL9K8TT715095 -  SM:TZ160X30G26011900387. Số Serial PIN: Y33051260409K00151</t>
  </si>
  <si>
    <t>2VF3-TT715095</t>
  </si>
  <si>
    <t>2C04708</t>
  </si>
  <si>
    <t>Xe ô tô con nhãn hiệu Vinfast VF3 Plus(xe điện) 94KL05; 4 chỗ ngồi, tay lái thuận, mới 100%;   Màu Trắng; SK:RLNVBL9K9TT716675 -  SM:TZ160X30G26012000023. Số Serial PIN: Y33051260414K00044</t>
  </si>
  <si>
    <t>2VF3-T716675</t>
  </si>
  <si>
    <t>2C04726</t>
  </si>
  <si>
    <t>Xe ô tô con nhãn hiệu Vinfast VF7 PLUS(xe điện) K5CF01; 5 chỗ ngồi; tay lái thuận, mới 100%;   MÀU TRẮNG; SK:RLLV3EKB3TH728402 -  SM1:VFCAJB262090057;  SM2:VFCAJB262060080. Số Serial PIN: Z72174260103D00018</t>
  </si>
  <si>
    <t>2VF7-H728402</t>
  </si>
  <si>
    <t>2C04856</t>
  </si>
  <si>
    <t>Xe ô tô con Vinfast VF5 Plus(xe điện) S5EJ01; 5 chỗ ngồi; tay lái thuận, mới 100%;   MÀU TRẮNG; SK:RLNV5JSE4TH717266 -  SM:VFCAFB261210182. Số Serial PIN: Z50066251224NGR214</t>
  </si>
  <si>
    <t>2VF5-H717266</t>
  </si>
  <si>
    <t>2C04653</t>
  </si>
  <si>
    <t>Xe ô tô con nhãn hiệu Vinfast VF3 Plus(xe điện) 94KL05; 4 chỗ ngồi, tay lái thuận, mới 100%;   Màu Hồng Phấn; SK:RLNVBL9K4TT716387 -  SM:TZ160X30G26011900394. Số Serial PIN: Y33051260415K00115</t>
  </si>
  <si>
    <t>2VF3-T716387</t>
  </si>
  <si>
    <t>2C04595</t>
  </si>
  <si>
    <t>Xe ô tô con Vinfast LIMO GREEN(xe điện) N7TP01; 7 chỗ ngồi, tay lái thuận, mới 100%;   Màu Trắng; SK:RLLVFPNT0TH756097 -  SM:ENBALB264100392. Số Serial PIN: L73152260311D50108</t>
  </si>
  <si>
    <t>2LMO-H756097</t>
  </si>
  <si>
    <t>2C04916</t>
  </si>
  <si>
    <t>Xe ô tô con nhãn hiệu Vinfast VF3 Plus(xe điện) 94KL05; 4 chỗ ngồi, tay lái thuận, mới 100%;   Màu Trắng; SK:RLNVBL9K3TT716168 -  SM:TZ160X30G26012000395. Số Serial PIN: Y33051260410K00116</t>
  </si>
  <si>
    <t>2VF3-T716168</t>
  </si>
  <si>
    <t>2C04917</t>
  </si>
  <si>
    <t>Xe ô tô con nhãn hiệu Vinfast VF3 Eco(xe điện) 94KL04; 4 chỗ ngồi, tay lái thuận, mới 100%;   Màu Đỏ; SK:RLNVBL9K8TT710723 -  SM:TZ160X30G26010500520. Số Serial PIN: Y33051260304K00118</t>
  </si>
  <si>
    <t>2VF3-T710723</t>
  </si>
  <si>
    <t>2C04850</t>
  </si>
  <si>
    <t>Xe ô tô con Vinfast LIMO GREEN(xe điện) N7TP01; 7 chỗ ngồi, tay lái thuận, mới 100%;   Màu Bạc; SK:RLLVFPNT1TH749711 -  SM:ENBALB263080227. Số Serial PIN: L73152260128D50109</t>
  </si>
  <si>
    <t>2LMO-H749711</t>
  </si>
  <si>
    <t>2C04896</t>
  </si>
  <si>
    <t>Xe ô tô con VINFAST VF MPV 7(xe điện) T7TP01; 7 chỗ ngồi, tay lái thuận, mới 100%;   Màu Đen; SK:RLLVFPTTXTH726298 -  SM:ENBALB261090407. Số Serial PIN: L73152260108D30076</t>
  </si>
  <si>
    <t>2MP7-H726298</t>
  </si>
  <si>
    <t>2C04845</t>
  </si>
  <si>
    <t>Xe ô tô con nhãn hiệu Vinfast VF3 Plus(xe điện) 94KL05; 4 chỗ ngồi, tay lái thuận, mới 100%;   Màu Xám; SK:RLNVBL9K1TT714046 -  SM:TZ160X30G26011500219. Số Serial PIN: Y33051260324K00306</t>
  </si>
  <si>
    <t>2VF3-T714046</t>
  </si>
  <si>
    <t>2C04919</t>
  </si>
  <si>
    <t>Xe ô tô tải VAN nhãn hiệu Vinfast Ec Van (xe điện)(xe điện) R2KR01; 2 chỗ ngồi, tay lái thuận, mới 100%;   Màu Trắng; SK:RNXVGRPK1TT710874 -  SM:TZ155XZC03026013000024. Số Serial PIN: BAT64000020AC2102174260131N30129</t>
  </si>
  <si>
    <t>2VAN-T710874</t>
  </si>
  <si>
    <t>2C04922</t>
  </si>
  <si>
    <t>Xe ô tô con Vinfast LIMO GREEN(xe điện) N7TP01; 7 chỗ ngồi, tay lái thuận, mới 100%;   Màu Đen; SK:RLLVFPNT3TH716645 -  SM:ENBALB25C190523. Số Serial PIN: L73152251215D60239</t>
  </si>
  <si>
    <t>2LMO-H716645</t>
  </si>
  <si>
    <t>2C04646</t>
  </si>
  <si>
    <t>Xe ô tô con Vinfast LIMO GREEN(xe điện) N7TP01; 7 chỗ ngồi, tay lái thuận, mới 100%;   Màu Trắng; SK:RLLVFPNTXTH743745 -  SM:ENBALB263040217. Số Serial PIN: L73152260121D50125</t>
  </si>
  <si>
    <t>2LMO-H743745</t>
  </si>
  <si>
    <t>2C04923</t>
  </si>
  <si>
    <t>Xe ô tô con nhãn hiệu Vinfast VF3 Eco(xe điện) 94KL04; 4 chỗ ngồi, tay lái thuận, mới 100%;   Màu Xám; SK:RLNVBL9K7TT713919 -  SM:TZ160X30G26011800663. Số Serial PIN: Y33051260327K00204</t>
  </si>
  <si>
    <t>2VF3-T713919</t>
  </si>
  <si>
    <t>2C04920</t>
  </si>
  <si>
    <t>Xe ô tô con Vinfast LIMO GREEN(xe điện) N7TP01; 7 chỗ ngồi, tay lái thuận, mới 100%;   Màu Bạc; SK:RLLVFPNT5TH749663 -  SM:ENBALB262070118. Số Serial PIN: L73152260129D50092</t>
  </si>
  <si>
    <t>2LMO-H749663</t>
  </si>
  <si>
    <t>2C04925</t>
  </si>
  <si>
    <t>Xe ô tô con Vinfast LIMO GREEN(xe điện) N7TP01; 7 chỗ ngồi, tay lái thuận, mới 100%;   Màu Trắng; SK:RLLVFPNT7TH750555 -  SM:ENBALB264040592. Số Serial PIN: L73152260128D60063</t>
  </si>
  <si>
    <t>2LMO-H750555</t>
  </si>
  <si>
    <t>2C04928</t>
  </si>
  <si>
    <t>Xe ô tô tải VAN nhãn hiệu Vinfast Ec Van (xe điện)(xe điện) R2KR01; 2 chỗ ngồi, tay lái thuận, mới 100%;   Màu Trắng; SK:RNXVGRPK0TT710607 -  SM:TZ155XZC03026020200025. Số Serial PIN: BAT64000020AC2102174260207D30053</t>
  </si>
  <si>
    <t>2VAN-T710607</t>
  </si>
  <si>
    <t>3912</t>
  </si>
  <si>
    <t>KH chưa cập nhật điểm Vinclub trên DMS nên xhđ điều chỉnh tăng giá</t>
  </si>
  <si>
    <t>2C04649</t>
  </si>
  <si>
    <t>Xe ô tô con nhãn hiệu Vinfast VF3 Eco(xe điện) 94KL04; 4 chỗ ngồi, tay lái thuận, mới 100%;   Màu Trắng; SK:RLNVBL9K3TT715909 -  SM:TZ160X30G26011900091. Số Serial PIN: Y33051260411K00067</t>
  </si>
  <si>
    <t>2VF3-T715909</t>
  </si>
  <si>
    <t>2C04854</t>
  </si>
  <si>
    <t>Xe ô tô con nhãn hiệu Vinfast VF6 PLUs(xe điện) P5CG04; 5 chỗ ngồi; tay lái thuận, mới 100%;   Màu Đen; SK:RLLVAG8C9TH746100 -  SM:VFBALB264010023. Số Serial PIN: V63051260312D00090</t>
  </si>
  <si>
    <t>2VF6-H746100</t>
  </si>
  <si>
    <t>2C04933</t>
  </si>
  <si>
    <t>Xe ô tô con nhãn hiệu Vinfast VF3 Plus(xe điện) 94KL05; 4 chỗ ngồi, tay lái thuận, mới 100%;   Màu Hồng Phấn; SK:RLNVBL9KXTT716605 -  SM:TZ160X30G26012100539. Số Serial PIN: Y33051260415K00063</t>
  </si>
  <si>
    <t>2VF3-T716605</t>
  </si>
  <si>
    <t>2C04934</t>
  </si>
  <si>
    <t>Xe ô tô con nhãn hiệu Vinfast VF3(xe điện) 94KL04; 4 chỗ ngồi, tay lái thuận, mới 100%;   Màu XANH DƯƠNG; SK:RLNVBL9K9ST717551 -  SM:TZ160X30G25112900093. Số Serial PIN: X33051251214K00257</t>
  </si>
  <si>
    <t>2VF3-T717551</t>
  </si>
  <si>
    <t>2C04936</t>
  </si>
  <si>
    <t>Xe ô tô con Vinfast LIMO GREEN(xe điện) N7TP01; 7 chỗ ngồi, tay lái thuận, mới 100%;   Màu Đen; SK:RLLVFPNT8TH745476 -  SM:ENBALB25C010173. Số Serial PIN: L73152260112D30069</t>
  </si>
  <si>
    <t>2LMO-H745476</t>
  </si>
  <si>
    <t>2C04939</t>
  </si>
  <si>
    <t>Xe ô tô con Vinfast LIMO GREEN(xe điện) N7TP01; 7 chỗ ngồi, tay lái thuận, mới 100%;   Màu Bạc; SK:RLLVFPNT7TH704742 -  SM:ENBALB25B270044. Số Serial PIN: L73152251212D50038</t>
  </si>
  <si>
    <t>2LMO-H704742</t>
  </si>
  <si>
    <t>2C04940</t>
  </si>
  <si>
    <t>Xe ô tô con nhãn hiệu Vinfast VF3 Eco(xe điện) 94KL04; 4 chỗ ngồi, tay lái thuận, mới 100%;   Màu Đỏ; SK:RLNVBL9K7TT714861 -  SM:TZ160X30G26011600434. Số Serial PIN: Y33051260409K00123</t>
  </si>
  <si>
    <t>2VF3-T714861</t>
  </si>
  <si>
    <t>2C04941</t>
  </si>
  <si>
    <t>Xe ô tô con Vinfast LIMO GREEN(xe điện) N7TP01; 7 chỗ ngồi, tay lái thuận, mới 100%;   Màu Trắng; SK:RLLVFPNT6TH747484 -  SM:ENBALB263010275. Số Serial PIN: L73152260115D60156</t>
  </si>
  <si>
    <t>2LMO-H747484</t>
  </si>
  <si>
    <t>2C04944</t>
  </si>
  <si>
    <t>Xe ô tô con Vinfast LIMO GREEN(xe điện) N7TP01; 7 chỗ ngồi, tay lái thuận, mới 100%;   Màu Đen; SK:RLLVFPNT3SH894909 -  SM:ENBALB25B260370. Số Serial PIN: L73152250904D50068</t>
  </si>
  <si>
    <t>2LMO-H894909</t>
  </si>
  <si>
    <t>2C04943</t>
  </si>
  <si>
    <t>Xe ô tô con Vinfast VF5 Plus(xe điện) S5EJ01; 5 chỗ ngồi; tay lái thuận, mới 100%;   MÀU ĐỎ; SK:RLNV5JSE9SH889579 -  SM:VFCAFB25C210302. Số Serial PIN: Z50066251209DGR028</t>
  </si>
  <si>
    <t>2VF5-H889579</t>
  </si>
  <si>
    <t>2C04895</t>
  </si>
  <si>
    <t>Xe ô tô con Vinfast LIMO GREEN(xe điện) N7TP01; 7 chỗ ngồi, tay lái thuận, mới 100%;   Màu Trắng; SK:RLLVFPNTXTH753966 -  SM:ENBALB264040447. Số Serial PIN: L73152260309N50111</t>
  </si>
  <si>
    <t>2LMO-H753966</t>
  </si>
  <si>
    <t>2C04847</t>
  </si>
  <si>
    <t>Xe ô tô con VINFAST VF MPV 7(xe điện) T7TP01; 7 chỗ ngồi, tay lái thuận, mới 100%;   Màu Trắng; SK:RLLVFPTT3TH747784 -  SM:ENBALB263130573. Số Serial PIN: L73152260121D60111</t>
  </si>
  <si>
    <t>2MP7-H747784</t>
  </si>
  <si>
    <t>2C04950</t>
  </si>
  <si>
    <t>Xe ô tô con nhãn hiệu Vinfast VF6 PLUs(xe điện) P5CG04; 5 chỗ ngồi; tay lái thuận, mới 100%;   Màu Trắng; SK:RLLVAG8C6TH747656 -  SM:VFBALB264040031. Số Serial PIN: V63051260319D00124</t>
  </si>
  <si>
    <t>2VF6-H747656</t>
  </si>
  <si>
    <t>2C04952</t>
  </si>
  <si>
    <t>Xe ô tô con nhãn hiệu Vinfast VF 6 ECO(xe điện) N5DG04; 5 chỗ ngồi; tay lái thuận, mới 100%;   Màu Trắng; SK:RLLVAGND0TH731286 -  SM:VFCAJB262030196. Số Serial PIN: V63051260201D00050</t>
  </si>
  <si>
    <t>2VF6-H731286</t>
  </si>
  <si>
    <t>2C1285</t>
  </si>
  <si>
    <t>Xe ô tô con VINFAST VF MPV 7(xe điện) T7TP01; 7 chỗ ngồi, tay lái thuận, mới 100%;   Màu Đen; SK:RLLVFPTT4TH740665 -  SM:ENBALB262050187. Số Serial PIN: L73152260305N50027</t>
  </si>
  <si>
    <t>2MP7-H740665</t>
  </si>
  <si>
    <t>3915</t>
  </si>
  <si>
    <t>2C02215</t>
  </si>
  <si>
    <t>VÕ THỊ KIM NGÂN</t>
  </si>
  <si>
    <t>Xe ô tô con nhãn hiệu Vinfast VF3 Plus(xe điện) 94KL05; 4 chỗ ngồi, tay lái thuận, mới 100%;   Màu Xám; SK:RLNVBL9KXTT715969 -  SM:TZ160X30G26012100381. Số Serial PIN: Y33051260412K00108</t>
  </si>
  <si>
    <t>2VF3-T715969</t>
  </si>
  <si>
    <t>2C04954</t>
  </si>
  <si>
    <t>Xe ô tô con Vinfast LIMO GREEN(xe điện) N7TP01; 7 chỗ ngồi, tay lái thuận, mới 100%;   Màu Bạc; SK:RLLVFPNT3TH704785 -  SM:ENBALB25C040132. Số Serial PIN: L73152251210D40108</t>
  </si>
  <si>
    <t>2LMO-H704785</t>
  </si>
  <si>
    <t>2C04953</t>
  </si>
  <si>
    <t>Xe ô tô con nhãn hiệu Vinfast VF6 PLUs(xe điện) P5CG04; 5 chỗ ngồi; tay lái thuận, mới 100%;   Màu Trắng; SK:RLLVAG8C3TH753253 -  SM:VFBALB264100141. Số Serial PIN: V63051260406G00146</t>
  </si>
  <si>
    <t>2VF6-H753253</t>
  </si>
  <si>
    <t>2C04956</t>
  </si>
  <si>
    <t>Xe ô tô con VINFAST VF MPV 7(xe điện) T7TP01; 7 chỗ ngồi, tay lái thuận, mới 100%;   Màu Xám; SK:RLLVFPTT0TH723331 -  SM:ENBALB25C200179. Số Serial PIN: L73152260112D50145</t>
  </si>
  <si>
    <t>2MP7-H723331</t>
  </si>
  <si>
    <t>2C04955</t>
  </si>
  <si>
    <t>Xe ô tô con nhãn hiệu Vinfast VF3 Plus(xe điện) 94KL05; 4 chỗ ngồi, tay lái thuận, mới 100%;   Màu Trắng; SK:RLNVBL9K9TT717289 -  SM:TZ160X30G26012100457. Số Serial PIN: Y33051260419K00017</t>
  </si>
  <si>
    <t>2VF3-T717289</t>
  </si>
  <si>
    <t>2C04949</t>
  </si>
  <si>
    <t>2C04638</t>
  </si>
  <si>
    <t>Xe ô tô con nhãn hiệu Vinfast VF6 PLUs(xe điện) P5CG04; 5 chỗ ngồi; tay lái thuận, mới 100%;   Màu Đỏ; SK:RLLVAG8C2TH738260 -  SM:VFBALB263250095. Số Serial PIN: V63051260114D00101</t>
  </si>
  <si>
    <t>2VF6-H738260</t>
  </si>
  <si>
    <t>2C04957</t>
  </si>
  <si>
    <t>Xe ô tô con nhãn hiệu Vinfast VF 6 ECO(xe điện) N5DG04; 5 chỗ ngồi; tay lái thuận, mới 100%;   Màu Đen; SK:RLLVAGND2TH736666 -  SM:VFCAJB263170069. Số Serial PIN: V63051260319A00024</t>
  </si>
  <si>
    <t>2VF6-H736666</t>
  </si>
  <si>
    <t>2C04899</t>
  </si>
  <si>
    <t>Xe ô tô con Vinfast LIMO GREEN(xe điện) N7TP01; 7 chỗ ngồi, tay lái thuận, mới 100%;   Màu Trắng; SK:RLLVFPNT7TH758459 -  SM:ENBALB263230351. Số Serial PIN: L73152260319D50103</t>
  </si>
  <si>
    <t>2LMO-H758459</t>
  </si>
  <si>
    <t>2C04947</t>
  </si>
  <si>
    <t>Xe ô tô con Vinfast LIMO GREEN(xe điện) N7TP01; 7 chỗ ngồi, tay lái thuận, mới 100%;   Màu Trắng; SK:RLLVFPNT6TH758582 -  SM:ENBALB263210188. Số Serial PIN: L73152260324N50064</t>
  </si>
  <si>
    <t>2LMO-H758582</t>
  </si>
  <si>
    <t>2C04945</t>
  </si>
  <si>
    <t>Xe ô tô con Vinfast LIMO GREEN(xe điện) N7TP01; 7 chỗ ngồi, tay lái thuận, mới 100%;   Màu Trắng; SK:RLLVFPNT5TH757505 -  SM:ENBALB263240241. Số Serial PIN: L73152260320D50100</t>
  </si>
  <si>
    <t>2LMO-H757505</t>
  </si>
  <si>
    <t>2C04679</t>
  </si>
  <si>
    <t>Xe ô tô con VINFAST VF MPV 7(xe điện) T7TP01; 7 chỗ ngồi, tay lái thuận, mới 100%;   Màu Trắng; SK:RLLVFPTT7TH747741 -  SM:ENBALB262050415. Số Serial PIN: L73152260117D60046</t>
  </si>
  <si>
    <t>2MP7-H747741</t>
  </si>
  <si>
    <t>2C04900</t>
  </si>
  <si>
    <t>Xe ô tô con Vinfast LIMO GREEN(xe điện) N7TP01; 7 chỗ ngồi, tay lái thuận, mới 100%;   Màu Bạc; SK:RLLVFPNT6TH749588 -  SM:ENBALB263070578. Số Serial PIN: L73152260128D50017</t>
  </si>
  <si>
    <t>2LMO-H749588</t>
  </si>
  <si>
    <t>2C04951</t>
  </si>
  <si>
    <t>Xe ô tô con Vinfast LIMO GREEN(xe điện) N7TP01; 7 chỗ ngồi, tay lái thuận, mới 100%;   Màu Bạc; SK:RLLVFPNT8TH757630 -  SM:ENBALB264170117. Số Serial PIN: L73152260311D50107</t>
  </si>
  <si>
    <t>2LMO-H757630</t>
  </si>
  <si>
    <t>2C04958</t>
  </si>
  <si>
    <t>Xe ô tô con VINFAST VF MPV 7(xe điện) T7TP01; 7 chỗ ngồi, tay lái thuận, mới 100%;   Màu Trắng; SK:RLLVFPTT8TH751183 -  SM:ENBALB263130442. Số Serial PIN: L73152251219D60009</t>
  </si>
  <si>
    <t>2MP7-H751183</t>
  </si>
  <si>
    <t>2C04902</t>
  </si>
  <si>
    <t>Xe ô tô con Vinfast LIMO GREEN(xe điện) N7TP01; 7 chỗ ngồi, tay lái thuận, mới 100%;   Màu Trắng; SK:RLLVFPNT2TH758644 -  SM:ENBALB263290112. Số Serial PIN: L73152260323D50045</t>
  </si>
  <si>
    <t>2LMO-H758644</t>
  </si>
  <si>
    <t>2C04959</t>
  </si>
  <si>
    <t>Xe ô tô con VINFAST VF MPV 7(xe điện) T7TP01; 7 chỗ ngồi, tay lái thuận, mới 100%;   Màu Xám; SK:RLLVFPTT6TH723205 -  SM:ENBALB25C260035. Số Serial PIN: L73152260103D50149</t>
  </si>
  <si>
    <t>2MP7-H723205</t>
  </si>
  <si>
    <t>2C04960</t>
  </si>
  <si>
    <t>Xe ô tô con VINFAST VF MPV 7(xe điện) T7TP01; 7 chỗ ngồi, tay lái thuận, mới 100%;   Màu Đen; SK:RLLVFPTT7TH735511 -  SM:ENBALB25C230553. Số Serial PIN: L73152260105N50204</t>
  </si>
  <si>
    <t>2MP7-H735511</t>
  </si>
  <si>
    <t>2C04961</t>
  </si>
  <si>
    <t>Xe ô tô con nhãn hiệu Vinfast VF3 Eco(xe điện) 94KL04; 4 chỗ ngồi, tay lái thuận, mới 100%;   Màu Trắng; SK:RLNVBL9K4TT715739 -  SM:TZ160X30G26012100064. Số Serial PIN: Y33051260415K00149</t>
  </si>
  <si>
    <t>2VF3-T715739</t>
  </si>
  <si>
    <t>Mã BP</t>
  </si>
  <si>
    <t>Từ ngày 23/01/2026 - 31/12/2026</t>
  </si>
  <si>
    <t>Từ ngày 01/04/2026 - 06/04/2026</t>
  </si>
  <si>
    <t>Từ ngày 07/04/2026 - 30/05/2026</t>
  </si>
  <si>
    <t>ĐỐI TƯỢNG ÁP DỤNG</t>
  </si>
  <si>
    <t>DÒNG XE</t>
  </si>
  <si>
    <t>GIÁ NIÊM YẾT (VAT)</t>
  </si>
  <si>
    <t>MỨC THƯỞNG XE BÁN LẺ</t>
  </si>
  <si>
    <t>MỨC THƯỞNG XE KH THU CŨ XĂNG SANG ĐIỆN, KH VF8 - VF9 XE CÔNG VỤ/KHQĐ CÔNG AN</t>
  </si>
  <si>
    <t>THƯỞNG QUÝ</t>
  </si>
  <si>
    <t>CHỈ TIÊU PHỤ KIỆN</t>
  </si>
  <si>
    <t>BẢO HIỂM XE KHÔNG KINH DOANH</t>
  </si>
  <si>
    <t>BẢO HIỂM XE KINH DOANH</t>
  </si>
  <si>
    <t>Voucher Giờ trái đất</t>
  </si>
  <si>
    <t>25% giá trị Voucher Giờ trái đất</t>
  </si>
  <si>
    <t>MỨC THƯỞNG XE BÁN LẺ &amp; MỨC THƯỞNG XE KH THU CŨ XĂNG SANG ĐIỆN</t>
  </si>
  <si>
    <t>MỨC THƯỞNG XE KHQĐ CÔNG AN</t>
  </si>
  <si>
    <t>MỨC THƯỞNG XE KH GIỜ TRÁI ĐẤT</t>
  </si>
  <si>
    <t>NV BÁN HÀNG TRỰC TIẾP</t>
  </si>
  <si>
    <t>Herio Green</t>
  </si>
  <si>
    <t>Nerio Green</t>
  </si>
  <si>
    <t>VF3 (Nông thôn)</t>
  </si>
  <si>
    <t>Lạc Hồng</t>
  </si>
  <si>
    <t>TT</t>
  </si>
  <si>
    <t>Dòng xe</t>
  </si>
  <si>
    <t>Số chỗ ngồi</t>
  </si>
  <si>
    <t>GIÁ TRỊ XE</t>
  </si>
  <si>
    <t>PHÍ BẢO HIỂM 
(BAO GỒM VAT)
(1)</t>
  </si>
  <si>
    <t>Tổng phí BH VCX Thanh toán về TASCO 
(XE KHÔNG KD)
(3)</t>
  </si>
  <si>
    <t>PHÍ BẢO HIỂM (BAO GỒM VAT)
(2)</t>
  </si>
  <si>
    <t>Tổng phí BH VCX Thanh toán về TASCO 
(XE KINH DOANH)
(4)</t>
  </si>
  <si>
    <t>PHÍ CHÊNH LỆCH 
BH XE KINH DOANH SR. HỒ CHÍ MINH</t>
  </si>
  <si>
    <t>LƯU Ý</t>
  </si>
  <si>
    <t>Phí BH VCX
MKT 500K</t>
  </si>
  <si>
    <t>Phí BH VCX
MKT 1.000K</t>
  </si>
  <si>
    <r>
      <t>Phí bảo hiểm</t>
    </r>
    <r>
      <rPr>
        <b/>
        <sz val="12"/>
        <rFont val="Times New Roman"/>
        <family val="1"/>
      </rPr>
      <t xml:space="preserve"> (1) &amp; (2)</t>
    </r>
    <r>
      <rPr>
        <sz val="12"/>
        <rFont val="Times New Roman"/>
        <family val="1"/>
      </rPr>
      <t xml:space="preserve">: Là giá trị cấp bảo hiểm cho khách hàng.
→ </t>
    </r>
    <r>
      <rPr>
        <b/>
        <u/>
        <sz val="12"/>
        <rFont val="Times New Roman"/>
        <family val="1"/>
      </rPr>
      <t>TVBH chỉ sử dụng mức phí này để tư vấn</t>
    </r>
    <r>
      <rPr>
        <sz val="12"/>
        <rFont val="Times New Roman"/>
        <family val="1"/>
      </rPr>
      <t xml:space="preserve"> quyền lợi bảo hiểm tặng cho khách hàng.
Tổng phí BH Thanh toán về Tasco</t>
    </r>
    <r>
      <rPr>
        <b/>
        <sz val="12"/>
        <rFont val="Times New Roman"/>
        <family val="1"/>
      </rPr>
      <t xml:space="preserve"> (3) &amp; (4) </t>
    </r>
    <r>
      <rPr>
        <sz val="12"/>
        <rFont val="Times New Roman"/>
        <family val="1"/>
      </rPr>
      <t>c</t>
    </r>
    <r>
      <rPr>
        <b/>
        <sz val="12"/>
        <rFont val="Times New Roman"/>
        <family val="1"/>
      </rPr>
      <t>hỉ lưu hành nội bộ</t>
    </r>
    <r>
      <rPr>
        <sz val="12"/>
        <rFont val="Times New Roman"/>
        <family val="1"/>
      </rPr>
      <t>: Là số tiền thực tế cần nộp về Tasco (chỉ áp dụng cho bảo hiểm tặng Vật chất xe).
→ Bộ phận Admin sử dụng để đối soát công nợ.
→ Mức phí đối soát thanh toán không được vượt quá khung phí quy định (3) &amp; (4)</t>
    </r>
  </si>
  <si>
    <t>Plus_TC1</t>
  </si>
  <si>
    <t>Nâng Cấp</t>
  </si>
  <si>
    <t>03/03/2026</t>
  </si>
  <si>
    <t>18/04/2026</t>
  </si>
  <si>
    <t>Khách hàng chuyển đổi xe xăng</t>
  </si>
  <si>
    <t>Tổng giá trị xe + pin</t>
  </si>
  <si>
    <t>Tạm tính ngày 03.05</t>
  </si>
  <si>
    <t>Ghi chú CSKH</t>
  </si>
  <si>
    <t>Ưu đãi lãi suất</t>
  </si>
  <si>
    <t>SL Xe XHĐ T04</t>
  </si>
  <si>
    <t>Hình thức thanh toán</t>
  </si>
  <si>
    <t>Chỉ tiêu Bảo hiểm (20%)</t>
  </si>
  <si>
    <t>Chỉ tiêu Phụ kiện (20%)</t>
  </si>
  <si>
    <t>KKD</t>
  </si>
  <si>
    <t>Trả góp</t>
  </si>
  <si>
    <t>KD</t>
  </si>
  <si>
    <t>Trả thẳng</t>
  </si>
  <si>
    <t>2819</t>
  </si>
  <si>
    <t>2C04515</t>
  </si>
  <si>
    <t>PHẠM THÙY LINH</t>
  </si>
  <si>
    <t>Điều chỉnh thuế</t>
  </si>
  <si>
    <t>2VF6-H705855</t>
  </si>
  <si>
    <t>Xe ô tô con nhãn hiệu Vinfast VF6 PLUs(xe điện) P5CG04; 5 chỗ ngồi; tay lái thuận, mới 100%;   Màu Trắng; SK:RLLVAG8C0TH705855 -  SM:VFBALB261090075. Số Serial PIN: V63051251228D00221</t>
  </si>
  <si>
    <t>=@ giá nhập -(@ giá dms * (100%-@CKCB))</t>
  </si>
  <si>
    <t>S11007-VSO-26-03-0132</t>
  </si>
  <si>
    <t>53.142.400</t>
  </si>
  <si>
    <t>kh thông thường</t>
  </si>
  <si>
    <t>Phường Phước Long</t>
  </si>
  <si>
    <t>1,00%</t>
  </si>
  <si>
    <t>6.940.600</t>
  </si>
  <si>
    <t>Row Labels</t>
  </si>
  <si>
    <t>Grand Total</t>
  </si>
  <si>
    <t>Sum of Số lượng</t>
  </si>
  <si>
    <t>Sum of Doanh thu</t>
  </si>
  <si>
    <t>Sum of Giá vốn</t>
  </si>
  <si>
    <t>Sum of CKNM</t>
  </si>
  <si>
    <t>Sum of Mở mới</t>
  </si>
  <si>
    <t>Sum of Lương năng suất</t>
  </si>
  <si>
    <t>Sum of Lợi nhuận còn lại</t>
  </si>
  <si>
    <t>LN bình quân/xe</t>
  </si>
  <si>
    <t>THÁNG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</si>
</sst>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(* #,##0_);_(* \(#,##0\);_(* &quot;-&quot;_);_(@_)"/>
    <numFmt numFmtId="43" formatCode="_(* #,##0.00_);_(* \(#,##0.00\);_(* &quot;-&quot;??_);_(@_)"/>
    <numFmt numFmtId="164" formatCode="[$-10409]dd/mm/yyyy"/>
    <numFmt numFmtId="165" formatCode="[$-10409]###,###,###,###,###;\-###,###,###,###,###;"/>
    <numFmt numFmtId="166" formatCode="_(* #,##0_);_(* \(#,##0\);_(* &quot;-&quot;??_);_(@_)"/>
    <numFmt numFmtId="167" formatCode="m\.yyyy"/>
    <numFmt numFmtId="168" formatCode="dd&quot;/&quot;mm&quot;/&quot;yyyy"/>
    <numFmt numFmtId="169" formatCode="0.0%"/>
    <numFmt numFmtId="170" formatCode="d/m/yyyy"/>
    <numFmt numFmtId="171" formatCode="#,##0;\(#,##0\);&quot;-&quot;"/>
    <numFmt numFmtId="172" formatCode="[$-10409]#,###,###,##0.00;\-#,###,###,##0.00;"/>
    <numFmt numFmtId="173" formatCode="[$-10409]###,###,###,###,##0.00;\-###,###,###,###,##0.00;"/>
    <numFmt numFmtId="174" formatCode="_-* #,##0_-;\-* #,##0_-;_-* &quot;-&quot;??_-;_-@_-"/>
  </numFmts>
  <fonts count="52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Verdana"/>
      <family val="2"/>
    </font>
    <font>
      <sz val="11"/>
      <color rgb="FF000000"/>
      <name val="Aptos Narrow"/>
      <family val="2"/>
      <scheme val="minor"/>
    </font>
    <font>
      <b/>
      <sz val="13"/>
      <color rgb="FF1F4E79"/>
      <name val="Arial"/>
      <family val="2"/>
    </font>
    <font>
      <i/>
      <sz val="9"/>
      <color rgb="FF595959"/>
      <name val="Arial"/>
      <family val="2"/>
    </font>
    <font>
      <sz val="11"/>
      <name val="Calibri"/>
      <family val="2"/>
    </font>
    <font>
      <b/>
      <sz val="10"/>
      <color rgb="FFFFFFFF"/>
      <name val="Arial"/>
      <family val="2"/>
    </font>
    <font>
      <sz val="9"/>
      <name val="Arial"/>
      <family val="2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rgb="FFFF0000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  <font>
      <sz val="9"/>
      <color rgb="FF000000"/>
      <name val="Times New Roman"/>
      <family val="1"/>
    </font>
    <font>
      <sz val="10"/>
      <color rgb="FFFF0000"/>
      <name val="Times New Roman"/>
      <family val="1"/>
    </font>
    <font>
      <b/>
      <sz val="10"/>
      <color rgb="FF000099"/>
      <name val="Times New Roman"/>
      <family val="1"/>
    </font>
    <font>
      <b/>
      <sz val="13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9"/>
      <color rgb="FFFF0000"/>
      <name val="Arial"/>
      <family val="2"/>
    </font>
    <font>
      <sz val="10"/>
      <color rgb="FF000000"/>
      <name val="Aptos Narrow"/>
      <family val="2"/>
      <scheme val="minor"/>
    </font>
    <font>
      <b/>
      <sz val="12"/>
      <color rgb="FF000000"/>
      <name val="Times New Roman"/>
      <family val="1"/>
    </font>
    <font>
      <b/>
      <sz val="13"/>
      <color rgb="FFFF0000"/>
      <name val="Times New Roman"/>
      <family val="1"/>
    </font>
    <font>
      <sz val="10"/>
      <name val="Calibri"/>
      <family val="2"/>
    </font>
    <font>
      <sz val="13"/>
      <color rgb="FF000000"/>
      <name val="Times New Roman"/>
      <family val="1"/>
    </font>
    <font>
      <sz val="13"/>
      <color rgb="FFFF0000"/>
      <name val="Times New Roman"/>
      <family val="1"/>
    </font>
    <font>
      <b/>
      <sz val="10"/>
      <color theme="1"/>
      <name val="Aptos Narrow"/>
      <family val="2"/>
      <scheme val="minor"/>
    </font>
    <font>
      <b/>
      <sz val="10"/>
      <color rgb="FF990000"/>
      <name val="Times New Roman"/>
      <family val="1"/>
    </font>
    <font>
      <b/>
      <sz val="12"/>
      <color theme="1"/>
      <name val="Cambria"/>
      <family val="1"/>
    </font>
    <font>
      <b/>
      <sz val="12"/>
      <color rgb="FF000000"/>
      <name val="&quot;Cambria&quot;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i/>
      <sz val="8"/>
      <color rgb="FF000000"/>
      <name val="Verdana"/>
      <family val="2"/>
    </font>
    <font>
      <sz val="8"/>
      <color rgb="FF000000"/>
      <name val="Verdana"/>
      <family val="2"/>
    </font>
    <font>
      <sz val="11"/>
      <color rgb="FFFF0000"/>
      <name val="Times New Roman"/>
      <family val="1"/>
    </font>
    <font>
      <b/>
      <sz val="12"/>
      <name val="Times New Roman"/>
      <family val="1"/>
    </font>
    <font>
      <b/>
      <sz val="11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b/>
      <u/>
      <sz val="12"/>
      <name val="Times New Roman"/>
      <family val="1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  <font>
      <sz val="11"/>
      <name val="Times New Roman"/>
      <family val="1"/>
    </font>
    <font>
      <sz val="10"/>
      <color theme="1"/>
      <name val="Arial"/>
      <family val="2"/>
    </font>
    <font>
      <b/>
      <sz val="11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EDF5FF"/>
        <bgColor rgb="FFEDF5FF"/>
      </patternFill>
    </fill>
    <fill>
      <patternFill patternType="solid">
        <fgColor rgb="FF1F4E79"/>
        <bgColor rgb="FF1F4E79"/>
      </patternFill>
    </fill>
    <fill>
      <patternFill patternType="solid">
        <fgColor rgb="FFDEEAF1"/>
        <bgColor rgb="FFDEEAF1"/>
      </patternFill>
    </fill>
    <fill>
      <patternFill patternType="solid">
        <fgColor rgb="FFF4CCFF"/>
        <bgColor rgb="FFF4CCFF"/>
      </patternFill>
    </fill>
    <fill>
      <patternFill patternType="solid">
        <fgColor rgb="FFE2EFDA"/>
        <bgColor rgb="FFE2EFDA"/>
      </patternFill>
    </fill>
    <fill>
      <patternFill patternType="solid">
        <fgColor rgb="FFFFF2CC"/>
        <bgColor rgb="FFFFF2CC"/>
      </patternFill>
    </fill>
    <fill>
      <patternFill patternType="solid">
        <fgColor rgb="FFFCE4D6"/>
        <bgColor rgb="FFFCE4D6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rgb="FF00B0F0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BE2D5"/>
        <bgColor rgb="FFFBE2D5"/>
      </patternFill>
    </fill>
    <fill>
      <patternFill patternType="solid">
        <fgColor rgb="FFF7C7AC"/>
        <bgColor rgb="FFF7C7AC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indexed="64"/>
      </patternFill>
    </fill>
    <fill>
      <patternFill patternType="solid">
        <fgColor rgb="FF00FFFF"/>
        <bgColor rgb="FFEDF5FF"/>
      </patternFill>
    </fill>
    <fill>
      <patternFill patternType="solid">
        <fgColor theme="0"/>
        <bgColor rgb="FFEDF5FF"/>
      </patternFill>
    </fill>
    <fill>
      <patternFill patternType="solid">
        <fgColor rgb="FFFFFF00"/>
        <bgColor rgb="FFEDF5FF"/>
      </patternFill>
    </fill>
    <fill>
      <patternFill patternType="solid">
        <fgColor theme="8" tint="0.59999389629810485"/>
        <bgColor rgb="FFEDF5FF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rgb="FF1F4E79"/>
      </patternFill>
    </fill>
    <fill>
      <patternFill patternType="solid">
        <fgColor rgb="FFF6F8F9"/>
        <bgColor rgb="FFF6F8F9"/>
      </patternFill>
    </fill>
    <fill>
      <patternFill patternType="solid">
        <fgColor rgb="FFE5F2F7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rgb="FFEDF5FF"/>
      </patternFill>
    </fill>
    <fill>
      <patternFill patternType="solid">
        <fgColor rgb="FF00FFFF"/>
        <bgColor indexed="64"/>
      </patternFill>
    </fill>
    <fill>
      <patternFill patternType="solid">
        <fgColor rgb="FFC0E6F5"/>
        <bgColor indexed="64"/>
      </patternFill>
    </fill>
  </fills>
  <borders count="3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BDD7EE"/>
      </left>
      <right style="thin">
        <color rgb="FFBDD7EE"/>
      </right>
      <top style="thin">
        <color rgb="FFBDD7EE"/>
      </top>
      <bottom style="thin">
        <color rgb="FFBDD7EE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1" fontId="1" fillId="0" borderId="0" applyFont="0" applyFill="0" applyBorder="0" applyAlignment="0" applyProtection="0"/>
  </cellStyleXfs>
  <cellXfs count="343">
    <xf numFmtId="0" fontId="0" fillId="0" borderId="0" xfId="0"/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0" fontId="7" fillId="3" borderId="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/>
    </xf>
    <xf numFmtId="0" fontId="8" fillId="4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wrapText="1"/>
    </xf>
    <xf numFmtId="0" fontId="8" fillId="7" borderId="2" xfId="0" applyFont="1" applyFill="1" applyBorder="1" applyAlignment="1">
      <alignment horizontal="center" vertical="center" wrapText="1"/>
    </xf>
    <xf numFmtId="0" fontId="8" fillId="8" borderId="2" xfId="0" applyFont="1" applyFill="1" applyBorder="1" applyAlignment="1">
      <alignment horizontal="center" vertical="center" wrapText="1"/>
    </xf>
    <xf numFmtId="9" fontId="0" fillId="0" borderId="0" xfId="0" applyNumberFormat="1"/>
    <xf numFmtId="166" fontId="0" fillId="0" borderId="0" xfId="1" applyNumberFormat="1" applyFont="1"/>
    <xf numFmtId="166" fontId="0" fillId="0" borderId="0" xfId="0" applyNumberFormat="1"/>
    <xf numFmtId="9" fontId="0" fillId="0" borderId="0" xfId="2" applyFont="1"/>
    <xf numFmtId="169" fontId="0" fillId="0" borderId="0" xfId="2" applyNumberFormat="1" applyFont="1"/>
    <xf numFmtId="171" fontId="8" fillId="0" borderId="2" xfId="0" applyNumberFormat="1" applyFont="1" applyBorder="1" applyAlignment="1">
      <alignment horizontal="right" vertical="center"/>
    </xf>
    <xf numFmtId="166" fontId="0" fillId="9" borderId="0" xfId="0" applyNumberFormat="1" applyFill="1"/>
    <xf numFmtId="0" fontId="11" fillId="2" borderId="3" xfId="0" applyFont="1" applyFill="1" applyBorder="1" applyAlignment="1">
      <alignment horizontal="center" vertical="center" wrapText="1"/>
    </xf>
    <xf numFmtId="0" fontId="11" fillId="16" borderId="3" xfId="0" applyFont="1" applyFill="1" applyBorder="1" applyAlignment="1">
      <alignment horizontal="center" vertical="center" wrapText="1"/>
    </xf>
    <xf numFmtId="41" fontId="11" fillId="2" borderId="3" xfId="0" applyNumberFormat="1" applyFont="1" applyFill="1" applyBorder="1" applyAlignment="1">
      <alignment horizontal="center" vertical="center" wrapText="1"/>
    </xf>
    <xf numFmtId="41" fontId="12" fillId="17" borderId="3" xfId="0" applyNumberFormat="1" applyFont="1" applyFill="1" applyBorder="1" applyAlignment="1">
      <alignment horizontal="center" vertical="center" wrapText="1"/>
    </xf>
    <xf numFmtId="41" fontId="12" fillId="18" borderId="3" xfId="0" applyNumberFormat="1" applyFont="1" applyFill="1" applyBorder="1" applyAlignment="1">
      <alignment horizontal="center" vertical="center" wrapText="1"/>
    </xf>
    <xf numFmtId="41" fontId="12" fillId="19" borderId="3" xfId="0" applyNumberFormat="1" applyFont="1" applyFill="1" applyBorder="1" applyAlignment="1">
      <alignment horizontal="center" vertical="center" wrapText="1"/>
    </xf>
    <xf numFmtId="41" fontId="12" fillId="20" borderId="3" xfId="0" applyNumberFormat="1" applyFont="1" applyFill="1" applyBorder="1" applyAlignment="1">
      <alignment horizontal="center" vertical="center" wrapText="1"/>
    </xf>
    <xf numFmtId="41" fontId="12" fillId="19" borderId="4" xfId="0" applyNumberFormat="1" applyFont="1" applyFill="1" applyBorder="1" applyAlignment="1">
      <alignment horizontal="center" vertical="center" wrapText="1"/>
    </xf>
    <xf numFmtId="14" fontId="13" fillId="0" borderId="3" xfId="0" applyNumberFormat="1" applyFont="1" applyBorder="1" applyAlignment="1">
      <alignment horizontal="center" vertical="center" wrapText="1"/>
    </xf>
    <xf numFmtId="0" fontId="14" fillId="21" borderId="3" xfId="0" applyFont="1" applyFill="1" applyBorder="1" applyAlignment="1">
      <alignment horizontal="center" vertical="center"/>
    </xf>
    <xf numFmtId="0" fontId="13" fillId="21" borderId="3" xfId="0" applyFont="1" applyFill="1" applyBorder="1" applyAlignment="1">
      <alignment vertical="center" wrapText="1"/>
    </xf>
    <xf numFmtId="0" fontId="15" fillId="21" borderId="3" xfId="0" applyFont="1" applyFill="1" applyBorder="1" applyAlignment="1">
      <alignment vertical="center" wrapText="1"/>
    </xf>
    <xf numFmtId="0" fontId="13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3" fillId="0" borderId="3" xfId="0" applyFont="1" applyBorder="1" applyAlignment="1">
      <alignment vertical="center" wrapText="1"/>
    </xf>
    <xf numFmtId="0" fontId="14" fillId="0" borderId="3" xfId="0" applyFont="1" applyBorder="1" applyAlignment="1">
      <alignment vertical="center"/>
    </xf>
    <xf numFmtId="41" fontId="14" fillId="0" borderId="3" xfId="0" applyNumberFormat="1" applyFont="1" applyBorder="1" applyAlignment="1">
      <alignment horizontal="right" vertical="center"/>
    </xf>
    <xf numFmtId="41" fontId="16" fillId="22" borderId="3" xfId="0" applyNumberFormat="1" applyFont="1" applyFill="1" applyBorder="1" applyAlignment="1">
      <alignment horizontal="right" vertical="center"/>
    </xf>
    <xf numFmtId="41" fontId="16" fillId="21" borderId="3" xfId="0" applyNumberFormat="1" applyFont="1" applyFill="1" applyBorder="1" applyAlignment="1">
      <alignment horizontal="right" vertical="center"/>
    </xf>
    <xf numFmtId="41" fontId="16" fillId="0" borderId="3" xfId="0" applyNumberFormat="1" applyFont="1" applyBorder="1" applyAlignment="1">
      <alignment horizontal="right" vertical="center"/>
    </xf>
    <xf numFmtId="41" fontId="17" fillId="23" borderId="3" xfId="0" applyNumberFormat="1" applyFont="1" applyFill="1" applyBorder="1" applyAlignment="1">
      <alignment horizontal="right" vertical="center"/>
    </xf>
    <xf numFmtId="3" fontId="14" fillId="0" borderId="3" xfId="0" applyNumberFormat="1" applyFont="1" applyBorder="1" applyAlignment="1">
      <alignment vertical="center"/>
    </xf>
    <xf numFmtId="0" fontId="16" fillId="23" borderId="3" xfId="0" applyFont="1" applyFill="1" applyBorder="1" applyAlignment="1">
      <alignment vertical="center" wrapText="1"/>
    </xf>
    <xf numFmtId="41" fontId="12" fillId="23" borderId="3" xfId="0" applyNumberFormat="1" applyFont="1" applyFill="1" applyBorder="1" applyAlignment="1">
      <alignment horizontal="right" vertical="center"/>
    </xf>
    <xf numFmtId="0" fontId="15" fillId="9" borderId="3" xfId="0" applyFont="1" applyFill="1" applyBorder="1" applyAlignment="1">
      <alignment vertical="center" wrapText="1"/>
    </xf>
    <xf numFmtId="0" fontId="16" fillId="9" borderId="3" xfId="0" applyFont="1" applyFill="1" applyBorder="1" applyAlignment="1">
      <alignment vertical="center" wrapText="1"/>
    </xf>
    <xf numFmtId="0" fontId="14" fillId="9" borderId="3" xfId="0" applyFont="1" applyFill="1" applyBorder="1" applyAlignment="1">
      <alignment vertical="center"/>
    </xf>
    <xf numFmtId="0" fontId="13" fillId="9" borderId="3" xfId="0" applyFont="1" applyFill="1" applyBorder="1" applyAlignment="1">
      <alignment vertical="center" wrapText="1"/>
    </xf>
    <xf numFmtId="41" fontId="11" fillId="2" borderId="4" xfId="0" applyNumberFormat="1" applyFont="1" applyFill="1" applyBorder="1" applyAlignment="1">
      <alignment horizontal="center" vertical="center" wrapText="1"/>
    </xf>
    <xf numFmtId="41" fontId="13" fillId="22" borderId="4" xfId="0" applyNumberFormat="1" applyFont="1" applyFill="1" applyBorder="1" applyAlignment="1">
      <alignment horizontal="right" vertical="center" wrapText="1"/>
    </xf>
    <xf numFmtId="41" fontId="12" fillId="22" borderId="4" xfId="0" applyNumberFormat="1" applyFont="1" applyFill="1" applyBorder="1" applyAlignment="1">
      <alignment horizontal="right" vertical="center" wrapText="1"/>
    </xf>
    <xf numFmtId="0" fontId="8" fillId="0" borderId="2" xfId="0" applyFont="1" applyBorder="1" applyAlignment="1">
      <alignment horizontal="right" vertical="center"/>
    </xf>
    <xf numFmtId="171" fontId="0" fillId="0" borderId="0" xfId="0" applyNumberFormat="1"/>
    <xf numFmtId="0" fontId="0" fillId="0" borderId="0" xfId="0" applyAlignment="1">
      <alignment wrapText="1"/>
    </xf>
    <xf numFmtId="0" fontId="8" fillId="0" borderId="2" xfId="0" applyFont="1" applyBorder="1" applyAlignment="1">
      <alignment horizontal="left" vertical="center" wrapText="1"/>
    </xf>
    <xf numFmtId="0" fontId="22" fillId="0" borderId="0" xfId="0" applyFont="1"/>
    <xf numFmtId="0" fontId="23" fillId="6" borderId="2" xfId="0" applyFont="1" applyFill="1" applyBorder="1" applyAlignment="1">
      <alignment horizontal="center" vertical="center" wrapText="1"/>
    </xf>
    <xf numFmtId="166" fontId="22" fillId="0" borderId="0" xfId="1" applyNumberFormat="1" applyFont="1"/>
    <xf numFmtId="166" fontId="22" fillId="0" borderId="0" xfId="0" applyNumberFormat="1" applyFont="1"/>
    <xf numFmtId="9" fontId="22" fillId="0" borderId="0" xfId="2" applyFont="1"/>
    <xf numFmtId="171" fontId="22" fillId="0" borderId="0" xfId="0" applyNumberFormat="1" applyFont="1"/>
    <xf numFmtId="0" fontId="23" fillId="5" borderId="2" xfId="0" applyFont="1" applyFill="1" applyBorder="1" applyAlignment="1">
      <alignment horizontal="center" vertical="center" wrapText="1"/>
    </xf>
    <xf numFmtId="166" fontId="7" fillId="3" borderId="0" xfId="1" applyNumberFormat="1" applyFont="1" applyFill="1" applyBorder="1" applyAlignment="1">
      <alignment horizontal="center" vertical="center" wrapText="1"/>
    </xf>
    <xf numFmtId="0" fontId="7" fillId="24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43" fontId="0" fillId="0" borderId="0" xfId="0" applyNumberFormat="1"/>
    <xf numFmtId="0" fontId="20" fillId="0" borderId="3" xfId="0" applyFont="1" applyBorder="1"/>
    <xf numFmtId="0" fontId="20" fillId="15" borderId="3" xfId="0" applyFont="1" applyFill="1" applyBorder="1"/>
    <xf numFmtId="0" fontId="24" fillId="0" borderId="3" xfId="0" applyFont="1" applyBorder="1"/>
    <xf numFmtId="166" fontId="0" fillId="0" borderId="0" xfId="1" applyNumberFormat="1" applyFont="1" applyAlignment="1"/>
    <xf numFmtId="0" fontId="18" fillId="10" borderId="3" xfId="0" applyFont="1" applyFill="1" applyBorder="1" applyAlignment="1">
      <alignment horizontal="left" vertical="center" wrapText="1"/>
    </xf>
    <xf numFmtId="1" fontId="18" fillId="10" borderId="3" xfId="0" applyNumberFormat="1" applyFont="1" applyFill="1" applyBorder="1" applyAlignment="1">
      <alignment horizontal="left" vertical="center" wrapText="1"/>
    </xf>
    <xf numFmtId="0" fontId="18" fillId="11" borderId="3" xfId="0" applyFont="1" applyFill="1" applyBorder="1" applyAlignment="1">
      <alignment horizontal="left" vertical="center" wrapText="1"/>
    </xf>
    <xf numFmtId="166" fontId="18" fillId="11" borderId="3" xfId="1" applyNumberFormat="1" applyFont="1" applyFill="1" applyBorder="1" applyAlignment="1">
      <alignment horizontal="left" vertical="center" wrapText="1"/>
    </xf>
    <xf numFmtId="166" fontId="18" fillId="12" borderId="3" xfId="1" applyNumberFormat="1" applyFont="1" applyFill="1" applyBorder="1" applyAlignment="1">
      <alignment horizontal="left" vertical="center" wrapText="1"/>
    </xf>
    <xf numFmtId="166" fontId="9" fillId="11" borderId="3" xfId="1" applyNumberFormat="1" applyFont="1" applyFill="1" applyBorder="1" applyAlignment="1">
      <alignment horizontal="left" vertical="center" wrapText="1"/>
    </xf>
    <xf numFmtId="166" fontId="25" fillId="11" borderId="3" xfId="1" applyNumberFormat="1" applyFont="1" applyFill="1" applyBorder="1" applyAlignment="1">
      <alignment horizontal="left" vertical="center" wrapText="1"/>
    </xf>
    <xf numFmtId="166" fontId="18" fillId="13" borderId="3" xfId="1" applyNumberFormat="1" applyFont="1" applyFill="1" applyBorder="1" applyAlignment="1">
      <alignment horizontal="left" vertical="center" wrapText="1"/>
    </xf>
    <xf numFmtId="166" fontId="26" fillId="12" borderId="3" xfId="1" applyNumberFormat="1" applyFont="1" applyFill="1" applyBorder="1" applyAlignment="1">
      <alignment horizontal="left" vertical="center" wrapText="1"/>
    </xf>
    <xf numFmtId="0" fontId="18" fillId="12" borderId="3" xfId="0" applyFont="1" applyFill="1" applyBorder="1" applyAlignment="1">
      <alignment horizontal="left" vertical="center" wrapText="1"/>
    </xf>
    <xf numFmtId="10" fontId="18" fillId="12" borderId="3" xfId="0" applyNumberFormat="1" applyFont="1" applyFill="1" applyBorder="1" applyAlignment="1">
      <alignment horizontal="left" vertical="center" wrapText="1"/>
    </xf>
    <xf numFmtId="166" fontId="26" fillId="14" borderId="3" xfId="1" applyNumberFormat="1" applyFont="1" applyFill="1" applyBorder="1" applyAlignment="1">
      <alignment horizontal="left" vertical="center" wrapText="1"/>
    </xf>
    <xf numFmtId="166" fontId="18" fillId="14" borderId="3" xfId="1" applyNumberFormat="1" applyFont="1" applyFill="1" applyBorder="1" applyAlignment="1">
      <alignment horizontal="left" vertical="center" wrapText="1"/>
    </xf>
    <xf numFmtId="0" fontId="18" fillId="0" borderId="3" xfId="0" applyFont="1" applyBorder="1" applyAlignment="1">
      <alignment horizontal="left" vertical="center" wrapText="1"/>
    </xf>
    <xf numFmtId="0" fontId="27" fillId="0" borderId="3" xfId="0" applyFont="1" applyBorder="1"/>
    <xf numFmtId="3" fontId="26" fillId="0" borderId="3" xfId="0" applyNumberFormat="1" applyFont="1" applyBorder="1" applyAlignment="1">
      <alignment horizontal="left" vertical="center" wrapText="1"/>
    </xf>
    <xf numFmtId="4" fontId="18" fillId="0" borderId="3" xfId="0" applyNumberFormat="1" applyFont="1" applyBorder="1" applyAlignment="1">
      <alignment horizontal="left" vertical="center" wrapText="1"/>
    </xf>
    <xf numFmtId="3" fontId="18" fillId="12" borderId="3" xfId="0" applyNumberFormat="1" applyFont="1" applyFill="1" applyBorder="1" applyAlignment="1">
      <alignment horizontal="left" vertical="center" wrapText="1"/>
    </xf>
    <xf numFmtId="10" fontId="18" fillId="11" borderId="3" xfId="0" applyNumberFormat="1" applyFont="1" applyFill="1" applyBorder="1" applyAlignment="1">
      <alignment horizontal="left" vertical="center" wrapText="1"/>
    </xf>
    <xf numFmtId="0" fontId="28" fillId="10" borderId="3" xfId="0" applyFont="1" applyFill="1" applyBorder="1" applyAlignment="1">
      <alignment horizontal="left"/>
    </xf>
    <xf numFmtId="1" fontId="28" fillId="10" borderId="3" xfId="0" applyNumberFormat="1" applyFont="1" applyFill="1" applyBorder="1" applyAlignment="1">
      <alignment horizontal="left"/>
    </xf>
    <xf numFmtId="0" fontId="28" fillId="11" borderId="3" xfId="0" applyFont="1" applyFill="1" applyBorder="1" applyAlignment="1">
      <alignment horizontal="left"/>
    </xf>
    <xf numFmtId="0" fontId="28" fillId="11" borderId="3" xfId="0" applyFont="1" applyFill="1" applyBorder="1" applyAlignment="1">
      <alignment horizontal="center"/>
    </xf>
    <xf numFmtId="166" fontId="28" fillId="11" borderId="3" xfId="1" applyNumberFormat="1" applyFont="1" applyFill="1" applyBorder="1" applyAlignment="1">
      <alignment horizontal="center"/>
    </xf>
    <xf numFmtId="166" fontId="18" fillId="11" borderId="3" xfId="1" applyNumberFormat="1" applyFont="1" applyFill="1" applyBorder="1" applyAlignment="1">
      <alignment horizontal="center"/>
    </xf>
    <xf numFmtId="166" fontId="18" fillId="13" borderId="3" xfId="1" applyNumberFormat="1" applyFont="1" applyFill="1" applyBorder="1" applyAlignment="1">
      <alignment horizontal="center"/>
    </xf>
    <xf numFmtId="166" fontId="28" fillId="13" borderId="3" xfId="1" applyNumberFormat="1" applyFont="1" applyFill="1" applyBorder="1"/>
    <xf numFmtId="166" fontId="29" fillId="12" borderId="3" xfId="1" applyNumberFormat="1" applyFont="1" applyFill="1" applyBorder="1"/>
    <xf numFmtId="166" fontId="28" fillId="11" borderId="3" xfId="1" applyNumberFormat="1" applyFont="1" applyFill="1" applyBorder="1" applyAlignment="1">
      <alignment horizontal="right"/>
    </xf>
    <xf numFmtId="0" fontId="28" fillId="11" borderId="3" xfId="0" applyFont="1" applyFill="1" applyBorder="1"/>
    <xf numFmtId="0" fontId="28" fillId="12" borderId="3" xfId="0" applyFont="1" applyFill="1" applyBorder="1"/>
    <xf numFmtId="10" fontId="28" fillId="12" borderId="3" xfId="0" applyNumberFormat="1" applyFont="1" applyFill="1" applyBorder="1" applyAlignment="1">
      <alignment horizontal="center"/>
    </xf>
    <xf numFmtId="166" fontId="29" fillId="14" borderId="3" xfId="1" applyNumberFormat="1" applyFont="1" applyFill="1" applyBorder="1" applyAlignment="1"/>
    <xf numFmtId="166" fontId="28" fillId="14" borderId="3" xfId="1" applyNumberFormat="1" applyFont="1" applyFill="1" applyBorder="1"/>
    <xf numFmtId="166" fontId="28" fillId="11" borderId="3" xfId="1" applyNumberFormat="1" applyFont="1" applyFill="1" applyBorder="1" applyAlignment="1"/>
    <xf numFmtId="166" fontId="28" fillId="11" borderId="3" xfId="1" applyNumberFormat="1" applyFont="1" applyFill="1" applyBorder="1"/>
    <xf numFmtId="0" fontId="28" fillId="0" borderId="3" xfId="0" applyFont="1" applyBorder="1" applyAlignment="1">
      <alignment horizontal="center"/>
    </xf>
    <xf numFmtId="10" fontId="28" fillId="0" borderId="3" xfId="0" applyNumberFormat="1" applyFont="1" applyBorder="1" applyAlignment="1">
      <alignment horizontal="center"/>
    </xf>
    <xf numFmtId="3" fontId="29" fillId="0" borderId="3" xfId="0" applyNumberFormat="1" applyFont="1" applyBorder="1" applyAlignment="1">
      <alignment horizontal="center"/>
    </xf>
    <xf numFmtId="3" fontId="19" fillId="0" borderId="3" xfId="0" applyNumberFormat="1" applyFont="1" applyBorder="1"/>
    <xf numFmtId="0" fontId="19" fillId="0" borderId="3" xfId="0" applyFont="1" applyBorder="1"/>
    <xf numFmtId="166" fontId="19" fillId="0" borderId="3" xfId="1" applyNumberFormat="1" applyFont="1" applyBorder="1"/>
    <xf numFmtId="167" fontId="20" fillId="0" borderId="3" xfId="0" applyNumberFormat="1" applyFont="1" applyBorder="1"/>
    <xf numFmtId="1" fontId="20" fillId="0" borderId="3" xfId="0" applyNumberFormat="1" applyFont="1" applyBorder="1"/>
    <xf numFmtId="3" fontId="20" fillId="0" borderId="3" xfId="0" applyNumberFormat="1" applyFont="1" applyBorder="1"/>
    <xf numFmtId="168" fontId="20" fillId="0" borderId="3" xfId="0" applyNumberFormat="1" applyFont="1" applyBorder="1"/>
    <xf numFmtId="166" fontId="20" fillId="0" borderId="3" xfId="1" applyNumberFormat="1" applyFont="1" applyBorder="1"/>
    <xf numFmtId="166" fontId="20" fillId="0" borderId="3" xfId="1" applyNumberFormat="1" applyFont="1" applyBorder="1" applyAlignment="1">
      <alignment horizontal="center"/>
    </xf>
    <xf numFmtId="166" fontId="20" fillId="12" borderId="3" xfId="1" applyNumberFormat="1" applyFont="1" applyFill="1" applyBorder="1"/>
    <xf numFmtId="166" fontId="20" fillId="0" borderId="3" xfId="1" applyNumberFormat="1" applyFont="1" applyBorder="1" applyAlignment="1"/>
    <xf numFmtId="14" fontId="20" fillId="0" borderId="3" xfId="0" applyNumberFormat="1" applyFont="1" applyBorder="1"/>
    <xf numFmtId="9" fontId="20" fillId="0" borderId="3" xfId="0" applyNumberFormat="1" applyFont="1" applyBorder="1"/>
    <xf numFmtId="10" fontId="20" fillId="0" borderId="3" xfId="0" applyNumberFormat="1" applyFont="1" applyBorder="1" applyAlignment="1">
      <alignment horizontal="center"/>
    </xf>
    <xf numFmtId="3" fontId="20" fillId="0" borderId="3" xfId="0" applyNumberFormat="1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3" fontId="19" fillId="0" borderId="3" xfId="0" applyNumberFormat="1" applyFont="1" applyBorder="1" applyAlignment="1">
      <alignment horizontal="center"/>
    </xf>
    <xf numFmtId="10" fontId="20" fillId="0" borderId="3" xfId="0" applyNumberFormat="1" applyFont="1" applyBorder="1"/>
    <xf numFmtId="167" fontId="20" fillId="15" borderId="3" xfId="0" applyNumberFormat="1" applyFont="1" applyFill="1" applyBorder="1"/>
    <xf numFmtId="1" fontId="20" fillId="15" borderId="3" xfId="0" applyNumberFormat="1" applyFont="1" applyFill="1" applyBorder="1"/>
    <xf numFmtId="3" fontId="20" fillId="15" borderId="3" xfId="0" applyNumberFormat="1" applyFont="1" applyFill="1" applyBorder="1"/>
    <xf numFmtId="168" fontId="20" fillId="15" borderId="3" xfId="0" applyNumberFormat="1" applyFont="1" applyFill="1" applyBorder="1"/>
    <xf numFmtId="166" fontId="20" fillId="15" borderId="3" xfId="1" applyNumberFormat="1" applyFont="1" applyFill="1" applyBorder="1"/>
    <xf numFmtId="166" fontId="20" fillId="15" borderId="3" xfId="1" applyNumberFormat="1" applyFont="1" applyFill="1" applyBorder="1" applyAlignment="1">
      <alignment horizontal="center"/>
    </xf>
    <xf numFmtId="166" fontId="20" fillId="15" borderId="3" xfId="1" applyNumberFormat="1" applyFont="1" applyFill="1" applyBorder="1" applyAlignment="1"/>
    <xf numFmtId="14" fontId="20" fillId="15" borderId="3" xfId="0" applyNumberFormat="1" applyFont="1" applyFill="1" applyBorder="1"/>
    <xf numFmtId="9" fontId="20" fillId="15" borderId="3" xfId="0" applyNumberFormat="1" applyFont="1" applyFill="1" applyBorder="1"/>
    <xf numFmtId="10" fontId="20" fillId="15" borderId="3" xfId="0" applyNumberFormat="1" applyFont="1" applyFill="1" applyBorder="1" applyAlignment="1">
      <alignment horizontal="center"/>
    </xf>
    <xf numFmtId="3" fontId="20" fillId="15" borderId="3" xfId="0" applyNumberFormat="1" applyFont="1" applyFill="1" applyBorder="1" applyAlignment="1">
      <alignment horizontal="center"/>
    </xf>
    <xf numFmtId="0" fontId="20" fillId="15" borderId="3" xfId="0" applyFont="1" applyFill="1" applyBorder="1" applyAlignment="1">
      <alignment horizontal="center"/>
    </xf>
    <xf numFmtId="170" fontId="20" fillId="0" borderId="3" xfId="0" applyNumberFormat="1" applyFont="1" applyBorder="1"/>
    <xf numFmtId="166" fontId="2" fillId="0" borderId="3" xfId="1" applyNumberFormat="1" applyFont="1" applyBorder="1" applyAlignment="1">
      <alignment horizontal="left" vertical="top"/>
    </xf>
    <xf numFmtId="166" fontId="20" fillId="12" borderId="3" xfId="1" applyNumberFormat="1" applyFont="1" applyFill="1" applyBorder="1" applyAlignment="1"/>
    <xf numFmtId="169" fontId="20" fillId="0" borderId="3" xfId="0" applyNumberFormat="1" applyFont="1" applyBorder="1"/>
    <xf numFmtId="3" fontId="30" fillId="0" borderId="3" xfId="0" applyNumberFormat="1" applyFont="1" applyBorder="1" applyAlignment="1">
      <alignment horizontal="center"/>
    </xf>
    <xf numFmtId="0" fontId="30" fillId="0" borderId="3" xfId="0" applyFont="1" applyBorder="1" applyAlignment="1">
      <alignment horizontal="center" wrapText="1"/>
    </xf>
    <xf numFmtId="0" fontId="20" fillId="0" borderId="3" xfId="0" applyFont="1" applyBorder="1" applyAlignment="1">
      <alignment wrapText="1"/>
    </xf>
    <xf numFmtId="0" fontId="20" fillId="0" borderId="3" xfId="0" applyFont="1" applyBorder="1" applyAlignment="1">
      <alignment horizontal="center" wrapText="1"/>
    </xf>
    <xf numFmtId="0" fontId="31" fillId="25" borderId="3" xfId="0" applyFont="1" applyFill="1" applyBorder="1" applyAlignment="1">
      <alignment horizontal="center" vertical="center" wrapText="1"/>
    </xf>
    <xf numFmtId="166" fontId="21" fillId="0" borderId="3" xfId="1" applyNumberFormat="1" applyFont="1" applyBorder="1" applyAlignment="1"/>
    <xf numFmtId="170" fontId="20" fillId="15" borderId="3" xfId="0" applyNumberFormat="1" applyFont="1" applyFill="1" applyBorder="1"/>
    <xf numFmtId="167" fontId="24" fillId="0" borderId="3" xfId="0" applyNumberFormat="1" applyFont="1" applyBorder="1"/>
    <xf numFmtId="1" fontId="24" fillId="0" borderId="3" xfId="0" applyNumberFormat="1" applyFont="1" applyBorder="1"/>
    <xf numFmtId="3" fontId="24" fillId="0" borderId="3" xfId="0" applyNumberFormat="1" applyFont="1" applyBorder="1"/>
    <xf numFmtId="168" fontId="24" fillId="0" borderId="3" xfId="0" applyNumberFormat="1" applyFont="1" applyBorder="1"/>
    <xf numFmtId="166" fontId="24" fillId="0" borderId="3" xfId="1" applyNumberFormat="1" applyFont="1" applyBorder="1"/>
    <xf numFmtId="166" fontId="24" fillId="0" borderId="3" xfId="1" applyNumberFormat="1" applyFont="1" applyBorder="1" applyAlignment="1">
      <alignment horizontal="center"/>
    </xf>
    <xf numFmtId="166" fontId="24" fillId="12" borderId="3" xfId="1" applyNumberFormat="1" applyFont="1" applyFill="1" applyBorder="1"/>
    <xf numFmtId="166" fontId="24" fillId="0" borderId="3" xfId="1" applyNumberFormat="1" applyFont="1" applyBorder="1" applyAlignment="1"/>
    <xf numFmtId="14" fontId="24" fillId="0" borderId="3" xfId="0" applyNumberFormat="1" applyFont="1" applyBorder="1"/>
    <xf numFmtId="9" fontId="24" fillId="0" borderId="3" xfId="0" applyNumberFormat="1" applyFont="1" applyBorder="1"/>
    <xf numFmtId="10" fontId="24" fillId="0" borderId="3" xfId="0" applyNumberFormat="1" applyFont="1" applyBorder="1" applyAlignment="1">
      <alignment horizontal="center"/>
    </xf>
    <xf numFmtId="3" fontId="24" fillId="0" borderId="3" xfId="0" applyNumberFormat="1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10" fontId="20" fillId="15" borderId="3" xfId="0" applyNumberFormat="1" applyFont="1" applyFill="1" applyBorder="1"/>
    <xf numFmtId="0" fontId="0" fillId="0" borderId="3" xfId="0" applyBorder="1"/>
    <xf numFmtId="166" fontId="20" fillId="12" borderId="3" xfId="1" applyNumberFormat="1" applyFont="1" applyFill="1" applyBorder="1" applyAlignment="1">
      <alignment horizontal="center"/>
    </xf>
    <xf numFmtId="3" fontId="32" fillId="0" borderId="3" xfId="0" applyNumberFormat="1" applyFont="1" applyBorder="1" applyAlignment="1">
      <alignment horizontal="right"/>
    </xf>
    <xf numFmtId="3" fontId="33" fillId="0" borderId="3" xfId="0" applyNumberFormat="1" applyFont="1" applyBorder="1"/>
    <xf numFmtId="166" fontId="0" fillId="0" borderId="3" xfId="1" applyNumberFormat="1" applyFont="1" applyBorder="1" applyAlignment="1"/>
    <xf numFmtId="4" fontId="20" fillId="0" borderId="3" xfId="0" applyNumberFormat="1" applyFont="1" applyBorder="1"/>
    <xf numFmtId="1" fontId="20" fillId="0" borderId="0" xfId="0" applyNumberFormat="1" applyFont="1"/>
    <xf numFmtId="166" fontId="20" fillId="0" borderId="0" xfId="1" applyNumberFormat="1" applyFont="1" applyAlignment="1">
      <alignment horizontal="center"/>
    </xf>
    <xf numFmtId="166" fontId="20" fillId="12" borderId="0" xfId="1" applyNumberFormat="1" applyFont="1" applyFill="1"/>
    <xf numFmtId="166" fontId="20" fillId="0" borderId="0" xfId="1" applyNumberFormat="1" applyFont="1"/>
    <xf numFmtId="10" fontId="20" fillId="0" borderId="0" xfId="0" applyNumberFormat="1" applyFont="1" applyAlignment="1">
      <alignment horizontal="center"/>
    </xf>
    <xf numFmtId="10" fontId="20" fillId="0" borderId="0" xfId="0" applyNumberFormat="1" applyFont="1"/>
    <xf numFmtId="3" fontId="20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  <xf numFmtId="4" fontId="20" fillId="0" borderId="0" xfId="0" applyNumberFormat="1" applyFont="1"/>
    <xf numFmtId="3" fontId="20" fillId="0" borderId="0" xfId="0" applyNumberFormat="1" applyFont="1"/>
    <xf numFmtId="1" fontId="11" fillId="2" borderId="3" xfId="0" applyNumberFormat="1" applyFont="1" applyFill="1" applyBorder="1" applyAlignment="1">
      <alignment horizontal="center" vertical="center" wrapText="1"/>
    </xf>
    <xf numFmtId="14" fontId="13" fillId="21" borderId="3" xfId="0" applyNumberFormat="1" applyFont="1" applyFill="1" applyBorder="1" applyAlignment="1">
      <alignment horizontal="center" vertical="center" wrapText="1"/>
    </xf>
    <xf numFmtId="1" fontId="13" fillId="21" borderId="3" xfId="1" applyNumberFormat="1" applyFont="1" applyFill="1" applyBorder="1" applyAlignment="1">
      <alignment horizontal="center" vertical="center" wrapText="1"/>
    </xf>
    <xf numFmtId="172" fontId="13" fillId="26" borderId="3" xfId="0" applyNumberFormat="1" applyFont="1" applyFill="1" applyBorder="1" applyAlignment="1">
      <alignment horizontal="center" vertical="center" wrapText="1"/>
    </xf>
    <xf numFmtId="41" fontId="13" fillId="26" borderId="3" xfId="0" applyNumberFormat="1" applyFont="1" applyFill="1" applyBorder="1" applyAlignment="1">
      <alignment horizontal="right" vertical="center" wrapText="1"/>
    </xf>
    <xf numFmtId="41" fontId="13" fillId="26" borderId="4" xfId="0" applyNumberFormat="1" applyFont="1" applyFill="1" applyBorder="1" applyAlignment="1">
      <alignment horizontal="right" vertical="center" wrapText="1"/>
    </xf>
    <xf numFmtId="41" fontId="16" fillId="26" borderId="4" xfId="0" applyNumberFormat="1" applyFont="1" applyFill="1" applyBorder="1" applyAlignment="1">
      <alignment horizontal="right" vertical="center" wrapText="1"/>
    </xf>
    <xf numFmtId="1" fontId="13" fillId="0" borderId="3" xfId="1" applyNumberFormat="1" applyFont="1" applyBorder="1" applyAlignment="1">
      <alignment horizontal="center" vertical="center" wrapText="1"/>
    </xf>
    <xf numFmtId="14" fontId="13" fillId="26" borderId="3" xfId="0" applyNumberFormat="1" applyFont="1" applyFill="1" applyBorder="1" applyAlignment="1">
      <alignment horizontal="center" vertical="center" wrapText="1"/>
    </xf>
    <xf numFmtId="1" fontId="13" fillId="26" borderId="3" xfId="1" applyNumberFormat="1" applyFont="1" applyFill="1" applyBorder="1" applyAlignment="1">
      <alignment horizontal="center" vertical="center" wrapText="1"/>
    </xf>
    <xf numFmtId="0" fontId="14" fillId="26" borderId="3" xfId="0" applyFont="1" applyFill="1" applyBorder="1" applyAlignment="1">
      <alignment horizontal="center" vertical="center"/>
    </xf>
    <xf numFmtId="0" fontId="13" fillId="26" borderId="3" xfId="0" applyFont="1" applyFill="1" applyBorder="1" applyAlignment="1">
      <alignment vertical="center" wrapText="1"/>
    </xf>
    <xf numFmtId="0" fontId="15" fillId="26" borderId="3" xfId="0" applyFont="1" applyFill="1" applyBorder="1" applyAlignment="1">
      <alignment vertical="center" wrapText="1"/>
    </xf>
    <xf numFmtId="0" fontId="13" fillId="26" borderId="3" xfId="0" applyFont="1" applyFill="1" applyBorder="1" applyAlignment="1">
      <alignment vertical="center"/>
    </xf>
    <xf numFmtId="0" fontId="10" fillId="26" borderId="3" xfId="0" applyFont="1" applyFill="1" applyBorder="1" applyAlignment="1">
      <alignment vertical="center"/>
    </xf>
    <xf numFmtId="0" fontId="14" fillId="26" borderId="3" xfId="0" applyFont="1" applyFill="1" applyBorder="1" applyAlignment="1">
      <alignment vertical="center"/>
    </xf>
    <xf numFmtId="41" fontId="14" fillId="26" borderId="3" xfId="0" applyNumberFormat="1" applyFont="1" applyFill="1" applyBorder="1" applyAlignment="1">
      <alignment horizontal="right" vertical="center"/>
    </xf>
    <xf numFmtId="41" fontId="16" fillId="26" borderId="3" xfId="0" applyNumberFormat="1" applyFont="1" applyFill="1" applyBorder="1" applyAlignment="1">
      <alignment horizontal="right" vertical="center"/>
    </xf>
    <xf numFmtId="41" fontId="17" fillId="26" borderId="3" xfId="0" applyNumberFormat="1" applyFont="1" applyFill="1" applyBorder="1" applyAlignment="1">
      <alignment horizontal="right" vertical="center"/>
    </xf>
    <xf numFmtId="41" fontId="12" fillId="26" borderId="3" xfId="0" applyNumberFormat="1" applyFont="1" applyFill="1" applyBorder="1" applyAlignment="1">
      <alignment horizontal="right" vertical="center"/>
    </xf>
    <xf numFmtId="3" fontId="14" fillId="26" borderId="3" xfId="0" applyNumberFormat="1" applyFont="1" applyFill="1" applyBorder="1" applyAlignment="1">
      <alignment vertical="center"/>
    </xf>
    <xf numFmtId="0" fontId="16" fillId="26" borderId="3" xfId="0" applyFont="1" applyFill="1" applyBorder="1" applyAlignment="1">
      <alignment vertical="center" wrapText="1"/>
    </xf>
    <xf numFmtId="41" fontId="12" fillId="26" borderId="4" xfId="0" applyNumberFormat="1" applyFont="1" applyFill="1" applyBorder="1" applyAlignment="1">
      <alignment horizontal="right" vertical="center" wrapText="1"/>
    </xf>
    <xf numFmtId="41" fontId="13" fillId="9" borderId="4" xfId="0" applyNumberFormat="1" applyFont="1" applyFill="1" applyBorder="1" applyAlignment="1">
      <alignment horizontal="right" vertical="center" wrapText="1"/>
    </xf>
    <xf numFmtId="9" fontId="20" fillId="0" borderId="3" xfId="2" applyFont="1" applyBorder="1" applyAlignment="1"/>
    <xf numFmtId="0" fontId="36" fillId="0" borderId="0" xfId="0" applyFont="1"/>
    <xf numFmtId="0" fontId="37" fillId="2" borderId="1" xfId="0" applyFont="1" applyFill="1" applyBorder="1" applyAlignment="1">
      <alignment horizontal="center" vertical="center" wrapText="1" readingOrder="1"/>
    </xf>
    <xf numFmtId="0" fontId="39" fillId="0" borderId="1" xfId="0" applyFont="1" applyBorder="1" applyAlignment="1">
      <alignment vertical="top" wrapText="1" readingOrder="1"/>
    </xf>
    <xf numFmtId="9" fontId="0" fillId="0" borderId="0" xfId="2" applyFont="1" applyAlignment="1"/>
    <xf numFmtId="9" fontId="18" fillId="11" borderId="3" xfId="2" applyFont="1" applyFill="1" applyBorder="1" applyAlignment="1">
      <alignment horizontal="left" vertical="center" wrapText="1"/>
    </xf>
    <xf numFmtId="9" fontId="18" fillId="11" borderId="3" xfId="2" applyFont="1" applyFill="1" applyBorder="1" applyAlignment="1">
      <alignment horizontal="center"/>
    </xf>
    <xf numFmtId="9" fontId="20" fillId="0" borderId="3" xfId="2" applyFont="1" applyBorder="1" applyAlignment="1">
      <alignment horizontal="center"/>
    </xf>
    <xf numFmtId="9" fontId="20" fillId="15" borderId="3" xfId="2" applyFont="1" applyFill="1" applyBorder="1" applyAlignment="1">
      <alignment horizontal="center"/>
    </xf>
    <xf numFmtId="9" fontId="24" fillId="0" borderId="3" xfId="2" applyFont="1" applyBorder="1" applyAlignment="1">
      <alignment horizontal="center"/>
    </xf>
    <xf numFmtId="9" fontId="20" fillId="0" borderId="0" xfId="2" applyFont="1" applyAlignment="1">
      <alignment horizontal="center"/>
    </xf>
    <xf numFmtId="169" fontId="22" fillId="9" borderId="0" xfId="2" applyNumberFormat="1" applyFont="1" applyFill="1"/>
    <xf numFmtId="49" fontId="0" fillId="0" borderId="0" xfId="1" applyNumberFormat="1" applyFont="1"/>
    <xf numFmtId="49" fontId="22" fillId="0" borderId="0" xfId="1" applyNumberFormat="1" applyFont="1"/>
    <xf numFmtId="0" fontId="40" fillId="0" borderId="0" xfId="0" applyFont="1" applyAlignment="1">
      <alignment vertical="center"/>
    </xf>
    <xf numFmtId="0" fontId="10" fillId="23" borderId="0" xfId="0" applyFont="1" applyFill="1" applyAlignment="1">
      <alignment vertical="center"/>
    </xf>
    <xf numFmtId="174" fontId="40" fillId="0" borderId="0" xfId="1" applyNumberFormat="1" applyFont="1" applyAlignment="1">
      <alignment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23" borderId="3" xfId="0" applyFont="1" applyFill="1" applyBorder="1" applyAlignment="1">
      <alignment horizontal="center" vertical="center" wrapText="1"/>
    </xf>
    <xf numFmtId="174" fontId="10" fillId="23" borderId="3" xfId="1" applyNumberFormat="1" applyFont="1" applyFill="1" applyBorder="1" applyAlignment="1">
      <alignment horizontal="center" vertical="center" wrapText="1"/>
    </xf>
    <xf numFmtId="174" fontId="10" fillId="9" borderId="3" xfId="1" applyNumberFormat="1" applyFont="1" applyFill="1" applyBorder="1" applyAlignment="1">
      <alignment horizontal="center" vertical="center" wrapText="1"/>
    </xf>
    <xf numFmtId="41" fontId="10" fillId="0" borderId="3" xfId="6" applyFont="1" applyBorder="1" applyAlignment="1">
      <alignment vertical="center"/>
    </xf>
    <xf numFmtId="41" fontId="10" fillId="23" borderId="3" xfId="6" applyFont="1" applyFill="1" applyBorder="1" applyAlignment="1">
      <alignment vertical="center"/>
    </xf>
    <xf numFmtId="174" fontId="10" fillId="0" borderId="3" xfId="1" applyNumberFormat="1" applyFont="1" applyBorder="1" applyAlignment="1">
      <alignment vertical="center"/>
    </xf>
    <xf numFmtId="174" fontId="40" fillId="0" borderId="3" xfId="1" applyNumberFormat="1" applyFont="1" applyBorder="1" applyAlignment="1">
      <alignment vertical="center"/>
    </xf>
    <xf numFmtId="174" fontId="10" fillId="0" borderId="0" xfId="1" applyNumberFormat="1" applyFont="1" applyAlignment="1">
      <alignment vertical="center"/>
    </xf>
    <xf numFmtId="0" fontId="41" fillId="27" borderId="9" xfId="0" applyFont="1" applyFill="1" applyBorder="1" applyAlignment="1">
      <alignment horizontal="center" vertical="center" wrapText="1"/>
    </xf>
    <xf numFmtId="0" fontId="41" fillId="28" borderId="9" xfId="0" applyFont="1" applyFill="1" applyBorder="1" applyAlignment="1">
      <alignment horizontal="center" vertical="center" wrapText="1"/>
    </xf>
    <xf numFmtId="166" fontId="41" fillId="29" borderId="10" xfId="1" applyNumberFormat="1" applyFont="1" applyFill="1" applyBorder="1" applyAlignment="1">
      <alignment horizontal="center" vertical="center" wrapText="1"/>
    </xf>
    <xf numFmtId="0" fontId="41" fillId="27" borderId="15" xfId="0" applyFont="1" applyFill="1" applyBorder="1" applyAlignment="1">
      <alignment horizontal="center" vertical="center" wrapText="1"/>
    </xf>
    <xf numFmtId="0" fontId="41" fillId="28" borderId="15" xfId="0" applyFont="1" applyFill="1" applyBorder="1" applyAlignment="1">
      <alignment horizontal="center" vertical="center" wrapText="1"/>
    </xf>
    <xf numFmtId="166" fontId="41" fillId="29" borderId="16" xfId="1" applyNumberFormat="1" applyFont="1" applyFill="1" applyBorder="1" applyAlignment="1">
      <alignment horizontal="center" vertical="center" wrapText="1"/>
    </xf>
    <xf numFmtId="0" fontId="44" fillId="0" borderId="20" xfId="0" applyFont="1" applyBorder="1" applyAlignment="1">
      <alignment horizontal="center" vertical="center" wrapText="1"/>
    </xf>
    <xf numFmtId="0" fontId="45" fillId="0" borderId="7" xfId="0" applyFont="1" applyBorder="1" applyAlignment="1">
      <alignment horizontal="center" vertical="center"/>
    </xf>
    <xf numFmtId="166" fontId="45" fillId="0" borderId="7" xfId="1" applyNumberFormat="1" applyFont="1" applyFill="1" applyBorder="1" applyAlignment="1">
      <alignment horizontal="center" vertical="center"/>
    </xf>
    <xf numFmtId="166" fontId="44" fillId="0" borderId="7" xfId="1" applyNumberFormat="1" applyFont="1" applyFill="1" applyBorder="1" applyAlignment="1">
      <alignment horizontal="center" vertical="center" wrapText="1"/>
    </xf>
    <xf numFmtId="166" fontId="44" fillId="0" borderId="21" xfId="1" applyNumberFormat="1" applyFont="1" applyFill="1" applyBorder="1" applyAlignment="1">
      <alignment vertical="center" wrapText="1"/>
    </xf>
    <xf numFmtId="166" fontId="44" fillId="0" borderId="22" xfId="1" applyNumberFormat="1" applyFont="1" applyFill="1" applyBorder="1" applyAlignment="1">
      <alignment vertical="center" wrapText="1"/>
    </xf>
    <xf numFmtId="166" fontId="44" fillId="0" borderId="11" xfId="1" applyNumberFormat="1" applyFont="1" applyFill="1" applyBorder="1" applyAlignment="1">
      <alignment horizontal="center" vertical="center"/>
    </xf>
    <xf numFmtId="0" fontId="44" fillId="0" borderId="23" xfId="0" applyFont="1" applyBorder="1" applyAlignment="1">
      <alignment horizontal="center" vertical="center" wrapText="1"/>
    </xf>
    <xf numFmtId="0" fontId="45" fillId="0" borderId="3" xfId="0" applyFont="1" applyBorder="1" applyAlignment="1">
      <alignment horizontal="center" vertical="center"/>
    </xf>
    <xf numFmtId="166" fontId="45" fillId="0" borderId="3" xfId="1" applyNumberFormat="1" applyFont="1" applyFill="1" applyBorder="1" applyAlignment="1">
      <alignment horizontal="center" vertical="center"/>
    </xf>
    <xf numFmtId="166" fontId="44" fillId="0" borderId="3" xfId="1" applyNumberFormat="1" applyFont="1" applyFill="1" applyBorder="1" applyAlignment="1">
      <alignment horizontal="center" vertical="center" wrapText="1"/>
    </xf>
    <xf numFmtId="166" fontId="44" fillId="0" borderId="24" xfId="1" applyNumberFormat="1" applyFont="1" applyFill="1" applyBorder="1" applyAlignment="1">
      <alignment vertical="center" wrapText="1"/>
    </xf>
    <xf numFmtId="166" fontId="44" fillId="0" borderId="4" xfId="1" applyNumberFormat="1" applyFont="1" applyFill="1" applyBorder="1" applyAlignment="1">
      <alignment vertical="center" wrapText="1"/>
    </xf>
    <xf numFmtId="166" fontId="44" fillId="0" borderId="25" xfId="1" applyNumberFormat="1" applyFont="1" applyFill="1" applyBorder="1" applyAlignment="1">
      <alignment horizontal="center" vertical="center"/>
    </xf>
    <xf numFmtId="0" fontId="45" fillId="0" borderId="3" xfId="0" applyFont="1" applyBorder="1" applyAlignment="1">
      <alignment vertical="center"/>
    </xf>
    <xf numFmtId="0" fontId="45" fillId="0" borderId="15" xfId="0" applyFont="1" applyBorder="1" applyAlignment="1">
      <alignment horizontal="center" vertical="center"/>
    </xf>
    <xf numFmtId="166" fontId="45" fillId="0" borderId="15" xfId="1" applyNumberFormat="1" applyFont="1" applyFill="1" applyBorder="1" applyAlignment="1">
      <alignment horizontal="center" vertical="center"/>
    </xf>
    <xf numFmtId="166" fontId="44" fillId="0" borderId="15" xfId="1" applyNumberFormat="1" applyFont="1" applyFill="1" applyBorder="1" applyAlignment="1">
      <alignment horizontal="center" vertical="center" wrapText="1"/>
    </xf>
    <xf numFmtId="166" fontId="45" fillId="0" borderId="18" xfId="1" applyNumberFormat="1" applyFont="1" applyFill="1" applyBorder="1" applyAlignment="1">
      <alignment horizontal="center" vertical="center"/>
    </xf>
    <xf numFmtId="166" fontId="44" fillId="0" borderId="26" xfId="1" applyNumberFormat="1" applyFont="1" applyFill="1" applyBorder="1" applyAlignment="1">
      <alignment vertical="center" wrapText="1"/>
    </xf>
    <xf numFmtId="166" fontId="44" fillId="0" borderId="27" xfId="1" applyNumberFormat="1" applyFont="1" applyFill="1" applyBorder="1" applyAlignment="1">
      <alignment vertical="center" wrapText="1"/>
    </xf>
    <xf numFmtId="166" fontId="44" fillId="0" borderId="17" xfId="1" applyNumberFormat="1" applyFont="1" applyFill="1" applyBorder="1" applyAlignment="1">
      <alignment horizontal="center" vertical="center"/>
    </xf>
    <xf numFmtId="41" fontId="13" fillId="9" borderId="3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41" fontId="6" fillId="0" borderId="0" xfId="0" applyNumberFormat="1" applyFont="1" applyAlignment="1">
      <alignment horizontal="right" vertical="center"/>
    </xf>
    <xf numFmtId="41" fontId="47" fillId="0" borderId="0" xfId="0" applyNumberFormat="1" applyFont="1" applyAlignment="1">
      <alignment horizontal="right" vertical="center"/>
    </xf>
    <xf numFmtId="41" fontId="47" fillId="21" borderId="0" xfId="0" applyNumberFormat="1" applyFont="1" applyFill="1" applyAlignment="1">
      <alignment horizontal="right" vertical="center"/>
    </xf>
    <xf numFmtId="41" fontId="6" fillId="0" borderId="0" xfId="0" applyNumberFormat="1" applyFont="1" applyAlignment="1">
      <alignment vertical="center"/>
    </xf>
    <xf numFmtId="41" fontId="47" fillId="0" borderId="0" xfId="0" applyNumberFormat="1" applyFont="1" applyAlignment="1">
      <alignment vertical="center"/>
    </xf>
    <xf numFmtId="41" fontId="48" fillId="0" borderId="0" xfId="0" applyNumberFormat="1" applyFont="1" applyAlignment="1">
      <alignment vertical="center"/>
    </xf>
    <xf numFmtId="0" fontId="6" fillId="21" borderId="0" xfId="0" applyFont="1" applyFill="1" applyAlignment="1">
      <alignment vertical="center"/>
    </xf>
    <xf numFmtId="0" fontId="49" fillId="0" borderId="0" xfId="0" applyFont="1" applyAlignment="1">
      <alignment horizontal="left" vertical="center"/>
    </xf>
    <xf numFmtId="9" fontId="6" fillId="0" borderId="0" xfId="0" applyNumberFormat="1" applyFont="1" applyAlignment="1">
      <alignment vertical="center"/>
    </xf>
    <xf numFmtId="41" fontId="14" fillId="0" borderId="0" xfId="0" applyNumberFormat="1" applyFont="1" applyAlignment="1">
      <alignment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quotePrefix="1" applyFont="1" applyAlignment="1">
      <alignment vertical="center"/>
    </xf>
    <xf numFmtId="41" fontId="14" fillId="0" borderId="0" xfId="0" applyNumberFormat="1" applyFont="1" applyAlignment="1">
      <alignment horizontal="right" vertical="center"/>
    </xf>
    <xf numFmtId="41" fontId="16" fillId="0" borderId="0" xfId="0" applyNumberFormat="1" applyFont="1" applyAlignment="1">
      <alignment horizontal="right" vertical="center"/>
    </xf>
    <xf numFmtId="0" fontId="12" fillId="9" borderId="0" xfId="0" applyFont="1" applyFill="1" applyAlignment="1">
      <alignment vertical="center"/>
    </xf>
    <xf numFmtId="41" fontId="14" fillId="21" borderId="0" xfId="0" applyNumberFormat="1" applyFont="1" applyFill="1" applyAlignment="1">
      <alignment vertical="center"/>
    </xf>
    <xf numFmtId="41" fontId="11" fillId="18" borderId="0" xfId="0" applyNumberFormat="1" applyFont="1" applyFill="1" applyAlignment="1">
      <alignment horizontal="center" vertical="center" wrapText="1"/>
    </xf>
    <xf numFmtId="9" fontId="11" fillId="30" borderId="4" xfId="0" applyNumberFormat="1" applyFont="1" applyFill="1" applyBorder="1" applyAlignment="1">
      <alignment horizontal="center" vertical="center" wrapText="1"/>
    </xf>
    <xf numFmtId="41" fontId="14" fillId="22" borderId="3" xfId="0" applyNumberFormat="1" applyFont="1" applyFill="1" applyBorder="1" applyAlignment="1">
      <alignment horizontal="left" vertical="center"/>
    </xf>
    <xf numFmtId="9" fontId="49" fillId="22" borderId="3" xfId="2" quotePrefix="1" applyFont="1" applyFill="1" applyBorder="1" applyAlignment="1">
      <alignment horizontal="left" vertical="center"/>
    </xf>
    <xf numFmtId="0" fontId="49" fillId="22" borderId="3" xfId="0" quotePrefix="1" applyFont="1" applyFill="1" applyBorder="1" applyAlignment="1">
      <alignment horizontal="left" vertical="center"/>
    </xf>
    <xf numFmtId="0" fontId="49" fillId="22" borderId="3" xfId="0" quotePrefix="1" applyFont="1" applyFill="1" applyBorder="1" applyAlignment="1">
      <alignment horizontal="center" vertical="center"/>
    </xf>
    <xf numFmtId="0" fontId="13" fillId="22" borderId="3" xfId="0" applyFont="1" applyFill="1" applyBorder="1" applyAlignment="1">
      <alignment vertical="center" wrapText="1"/>
    </xf>
    <xf numFmtId="9" fontId="6" fillId="26" borderId="3" xfId="2" applyFont="1" applyFill="1" applyBorder="1" applyAlignment="1">
      <alignment horizontal="center" vertical="center"/>
    </xf>
    <xf numFmtId="41" fontId="14" fillId="26" borderId="3" xfId="0" applyNumberFormat="1" applyFont="1" applyFill="1" applyBorder="1" applyAlignment="1">
      <alignment horizontal="left" vertical="center"/>
    </xf>
    <xf numFmtId="0" fontId="6" fillId="26" borderId="0" xfId="0" applyFont="1" applyFill="1" applyAlignment="1">
      <alignment vertical="center"/>
    </xf>
    <xf numFmtId="41" fontId="6" fillId="26" borderId="0" xfId="0" applyNumberFormat="1" applyFont="1" applyFill="1" applyAlignment="1">
      <alignment vertical="center"/>
    </xf>
    <xf numFmtId="0" fontId="49" fillId="9" borderId="3" xfId="0" quotePrefix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172" fontId="2" fillId="0" borderId="1" xfId="0" applyNumberFormat="1" applyFont="1" applyBorder="1" applyAlignment="1">
      <alignment horizontal="right" vertical="top" wrapText="1" readingOrder="1"/>
    </xf>
    <xf numFmtId="173" fontId="2" fillId="0" borderId="1" xfId="0" applyNumberFormat="1" applyFont="1" applyBorder="1" applyAlignment="1">
      <alignment horizontal="right" vertical="top" wrapText="1" readingOrder="1"/>
    </xf>
    <xf numFmtId="165" fontId="2" fillId="0" borderId="1" xfId="0" applyNumberFormat="1" applyFont="1" applyBorder="1" applyAlignment="1">
      <alignment horizontal="right" vertical="top" wrapText="1" readingOrder="1"/>
    </xf>
    <xf numFmtId="0" fontId="0" fillId="0" borderId="0" xfId="0" quotePrefix="1"/>
    <xf numFmtId="0" fontId="50" fillId="0" borderId="28" xfId="0" applyFont="1" applyBorder="1" applyAlignment="1">
      <alignment horizontal="right" wrapText="1"/>
    </xf>
    <xf numFmtId="0" fontId="50" fillId="0" borderId="29" xfId="0" applyFont="1" applyBorder="1" applyAlignment="1">
      <alignment horizontal="right" wrapText="1"/>
    </xf>
    <xf numFmtId="0" fontId="50" fillId="0" borderId="29" xfId="0" applyFont="1" applyBorder="1" applyAlignment="1">
      <alignment wrapText="1"/>
    </xf>
    <xf numFmtId="0" fontId="50" fillId="9" borderId="29" xfId="0" applyFont="1" applyFill="1" applyBorder="1" applyAlignment="1">
      <alignment wrapText="1"/>
    </xf>
    <xf numFmtId="9" fontId="50" fillId="0" borderId="29" xfId="0" applyNumberFormat="1" applyFont="1" applyBorder="1" applyAlignment="1">
      <alignment horizontal="right" wrapText="1"/>
    </xf>
    <xf numFmtId="0" fontId="50" fillId="0" borderId="29" xfId="0" applyFont="1" applyBorder="1" applyAlignment="1">
      <alignment horizontal="center" wrapText="1"/>
    </xf>
    <xf numFmtId="0" fontId="50" fillId="9" borderId="29" xfId="0" applyFont="1" applyFill="1" applyBorder="1" applyAlignment="1">
      <alignment horizontal="right" wrapText="1"/>
    </xf>
    <xf numFmtId="0" fontId="50" fillId="31" borderId="29" xfId="0" applyFont="1" applyFill="1" applyBorder="1" applyAlignment="1">
      <alignment wrapText="1"/>
    </xf>
    <xf numFmtId="0" fontId="50" fillId="0" borderId="30" xfId="0" applyFont="1" applyBorder="1" applyAlignment="1">
      <alignment wrapText="1"/>
    </xf>
    <xf numFmtId="0" fontId="50" fillId="0" borderId="30" xfId="0" applyFont="1" applyBorder="1" applyAlignment="1">
      <alignment horizontal="right" wrapText="1"/>
    </xf>
    <xf numFmtId="0" fontId="0" fillId="0" borderId="0" xfId="0" pivotButton="1"/>
    <xf numFmtId="0" fontId="0" fillId="0" borderId="0" xfId="0" applyAlignment="1">
      <alignment horizontal="left"/>
    </xf>
    <xf numFmtId="0" fontId="51" fillId="0" borderId="0" xfId="0" applyFont="1"/>
    <xf numFmtId="0" fontId="51" fillId="32" borderId="0" xfId="0" applyFont="1" applyFill="1" applyAlignment="1">
      <alignment horizontal="center"/>
    </xf>
    <xf numFmtId="171" fontId="51" fillId="32" borderId="0" xfId="0" applyNumberFormat="1" applyFont="1" applyFill="1"/>
    <xf numFmtId="166" fontId="50" fillId="0" borderId="29" xfId="1" applyNumberFormat="1" applyFont="1" applyBorder="1" applyAlignment="1">
      <alignment horizontal="right" wrapText="1"/>
    </xf>
    <xf numFmtId="166" fontId="50" fillId="0" borderId="29" xfId="1" applyNumberFormat="1" applyFont="1" applyBorder="1" applyAlignment="1">
      <alignment wrapText="1"/>
    </xf>
    <xf numFmtId="166" fontId="36" fillId="0" borderId="0" xfId="1" applyNumberFormat="1" applyFont="1"/>
    <xf numFmtId="166" fontId="36" fillId="0" borderId="0" xfId="0" applyNumberFormat="1" applyFont="1"/>
    <xf numFmtId="43" fontId="36" fillId="0" borderId="0" xfId="0" applyNumberFormat="1" applyFont="1"/>
    <xf numFmtId="0" fontId="37" fillId="0" borderId="0" xfId="0" applyFont="1" applyAlignment="1">
      <alignment horizontal="center" vertical="center" wrapText="1" readingOrder="1"/>
    </xf>
    <xf numFmtId="0" fontId="36" fillId="0" borderId="0" xfId="0" applyFont="1"/>
    <xf numFmtId="0" fontId="38" fillId="0" borderId="0" xfId="0" applyFont="1" applyAlignment="1">
      <alignment horizontal="center" vertical="center" wrapText="1" readingOrder="1"/>
    </xf>
    <xf numFmtId="0" fontId="6" fillId="0" borderId="0" xfId="0" applyFont="1" applyAlignment="1">
      <alignment vertical="center"/>
    </xf>
    <xf numFmtId="0" fontId="47" fillId="0" borderId="0" xfId="0" applyFont="1" applyAlignment="1">
      <alignment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41" fillId="27" borderId="8" xfId="0" applyFont="1" applyFill="1" applyBorder="1" applyAlignment="1">
      <alignment horizontal="center" vertical="center" wrapText="1"/>
    </xf>
    <xf numFmtId="0" fontId="41" fillId="27" borderId="14" xfId="0" applyFont="1" applyFill="1" applyBorder="1" applyAlignment="1">
      <alignment horizontal="center" vertical="center" wrapText="1"/>
    </xf>
    <xf numFmtId="0" fontId="41" fillId="27" borderId="9" xfId="0" applyFont="1" applyFill="1" applyBorder="1" applyAlignment="1">
      <alignment horizontal="center" vertical="center" wrapText="1"/>
    </xf>
    <xf numFmtId="0" fontId="41" fillId="27" borderId="15" xfId="0" applyFont="1" applyFill="1" applyBorder="1" applyAlignment="1">
      <alignment horizontal="center" vertical="center" wrapText="1"/>
    </xf>
    <xf numFmtId="0" fontId="41" fillId="9" borderId="9" xfId="0" applyFont="1" applyFill="1" applyBorder="1" applyAlignment="1">
      <alignment horizontal="center" vertical="center" wrapText="1"/>
    </xf>
    <xf numFmtId="0" fontId="41" fillId="9" borderId="15" xfId="0" applyFont="1" applyFill="1" applyBorder="1" applyAlignment="1">
      <alignment horizontal="center" vertical="center" wrapText="1"/>
    </xf>
    <xf numFmtId="166" fontId="42" fillId="9" borderId="11" xfId="1" applyNumberFormat="1" applyFont="1" applyFill="1" applyBorder="1" applyAlignment="1">
      <alignment horizontal="center" vertical="center" wrapText="1"/>
    </xf>
    <xf numFmtId="166" fontId="42" fillId="9" borderId="17" xfId="1" applyNumberFormat="1" applyFont="1" applyFill="1" applyBorder="1" applyAlignment="1">
      <alignment horizontal="center" vertical="center"/>
    </xf>
    <xf numFmtId="0" fontId="43" fillId="29" borderId="12" xfId="0" applyFont="1" applyFill="1" applyBorder="1" applyAlignment="1">
      <alignment horizontal="center" vertical="center" wrapText="1"/>
    </xf>
    <xf numFmtId="0" fontId="43" fillId="29" borderId="18" xfId="0" applyFont="1" applyFill="1" applyBorder="1" applyAlignment="1">
      <alignment horizontal="center" vertical="center" wrapText="1"/>
    </xf>
    <xf numFmtId="0" fontId="44" fillId="0" borderId="21" xfId="0" applyFont="1" applyBorder="1" applyAlignment="1">
      <alignment horizontal="left" vertical="center" wrapText="1"/>
    </xf>
    <xf numFmtId="0" fontId="44" fillId="0" borderId="24" xfId="0" applyFont="1" applyBorder="1" applyAlignment="1">
      <alignment horizontal="left" vertical="center" wrapText="1"/>
    </xf>
    <xf numFmtId="0" fontId="44" fillId="0" borderId="26" xfId="0" applyFont="1" applyBorder="1" applyAlignment="1">
      <alignment horizontal="left" vertical="center" wrapText="1"/>
    </xf>
    <xf numFmtId="0" fontId="44" fillId="0" borderId="23" xfId="0" applyFont="1" applyBorder="1" applyAlignment="1">
      <alignment horizontal="center" vertical="center" wrapText="1"/>
    </xf>
    <xf numFmtId="0" fontId="44" fillId="0" borderId="14" xfId="0" applyFont="1" applyBorder="1" applyAlignment="1">
      <alignment horizontal="center" vertical="center" wrapText="1"/>
    </xf>
    <xf numFmtId="0" fontId="41" fillId="9" borderId="12" xfId="0" applyFont="1" applyFill="1" applyBorder="1" applyAlignment="1">
      <alignment horizontal="center" vertical="center" wrapText="1"/>
    </xf>
    <xf numFmtId="0" fontId="41" fillId="9" borderId="18" xfId="0" applyFont="1" applyFill="1" applyBorder="1" applyAlignment="1">
      <alignment horizontal="center" vertical="center" wrapText="1"/>
    </xf>
    <xf numFmtId="166" fontId="42" fillId="9" borderId="13" xfId="1" applyNumberFormat="1" applyFont="1" applyFill="1" applyBorder="1" applyAlignment="1">
      <alignment horizontal="center" vertical="center" wrapText="1"/>
    </xf>
    <xf numFmtId="166" fontId="42" fillId="9" borderId="19" xfId="1" applyNumberFormat="1" applyFont="1" applyFill="1" applyBorder="1" applyAlignment="1">
      <alignment horizontal="center" vertical="center" wrapText="1"/>
    </xf>
  </cellXfs>
  <cellStyles count="7">
    <cellStyle name="Comma" xfId="1" builtinId="3"/>
    <cellStyle name="Comma [0]" xfId="6" builtinId="6"/>
    <cellStyle name="Normal" xfId="0" builtinId="0"/>
    <cellStyle name="Normal 2" xfId="3" xr:uid="{C7502489-B49F-4B0B-BCDF-5299248C714A}"/>
    <cellStyle name="Normal 3" xfId="4" xr:uid="{E6B511FB-2E2D-4EDA-A2EE-7314349037FB}"/>
    <cellStyle name="Normal 4" xfId="5" xr:uid="{06856098-0736-4269-907D-92D748877CA3}"/>
    <cellStyle name="Percent" xfId="2" builtinId="5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VFX\BCTC\2026\Th&#225;ng%204.2026\VFX%20-%20BA&#777;NG%20THU&#795;O&#795;&#777;NG%20CHI%20TIE&#770;&#769;T%20T04.2026%20(Ta&#803;m%20ti&#769;nh)..xlsx" TargetMode="External"/><Relationship Id="rId1" Type="http://schemas.openxmlformats.org/officeDocument/2006/relationships/externalLinkPath" Target="file:///E:\VFX\BCTC\2026\Th&#225;ng%204.2026\VFX%20-%20BA&#777;NG%20THU&#795;O&#795;&#777;NG%20CHI%20TIE&#770;&#769;T%20T04.2026%20(Ta&#803;m%20ti&#769;nh).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VFX\BCTC\2026\Th&#225;ng%204.2026\VFX%20-%20BA&#777;NG%20THU&#795;O&#795;&#777;NG%20CHI%20TIE&#770;&#769;T%20T04.2026%20(Ta&#803;m%20ti&#769;nh).xlsx" TargetMode="External"/><Relationship Id="rId1" Type="http://schemas.openxmlformats.org/officeDocument/2006/relationships/externalLinkPath" Target="file:///E:\VFX\BCTC\2026\Th&#225;ng%204.2026\VFX%20-%20BA&#777;NG%20THU&#795;O&#795;&#777;NG%20CHI%20TIE&#770;&#769;T%20T04.2026%20(Ta&#803;m%20ti&#769;nh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GROUP BY SHOWROOM"/>
      <sheetName val="CSBH THƯỞNG XE"/>
      <sheetName val="NVKD"/>
      <sheetName val="Trưởng nhóm"/>
      <sheetName val="GDSR"/>
      <sheetName val="GDKD"/>
      <sheetName val="Admin&amp;Kho"/>
      <sheetName val="HH Bảo hiểm FN"/>
      <sheetName val="Công nợ - tạm ứng"/>
      <sheetName val="Trả HH Treo NVKD T10"/>
      <sheetName val="Trả HH Treo GĐSR T10"/>
      <sheetName val="Trả HH Treo GĐKD T10"/>
      <sheetName val="Trả HH Treo NVKD T11"/>
      <sheetName val="Trả HH Treo TNBH T11"/>
      <sheetName val="Trả HH Treo GĐSR T11"/>
      <sheetName val="Trả HH Treo GĐKD T11"/>
      <sheetName val="HOA HỒNG T12"/>
    </sheetNames>
    <sheetDataSet>
      <sheetData sheetId="0"/>
      <sheetData sheetId="1">
        <row r="3">
          <cell r="U3" t="str">
            <v>EC Van</v>
          </cell>
          <cell r="V3"/>
          <cell r="W3">
            <v>7500000</v>
          </cell>
          <cell r="X3">
            <v>3750000</v>
          </cell>
          <cell r="Y3">
            <v>5625000</v>
          </cell>
          <cell r="Z3">
            <v>300000</v>
          </cell>
          <cell r="AA3">
            <v>2458889</v>
          </cell>
          <cell r="AB3"/>
          <cell r="AC3"/>
          <cell r="AD3"/>
          <cell r="AE3">
            <v>0</v>
          </cell>
        </row>
        <row r="4">
          <cell r="U4" t="str">
            <v>Minio Green</v>
          </cell>
          <cell r="V4"/>
          <cell r="W4">
            <v>6500000</v>
          </cell>
          <cell r="X4">
            <v>3250000</v>
          </cell>
          <cell r="Y4">
            <v>4875000</v>
          </cell>
          <cell r="Z4">
            <v>300000</v>
          </cell>
          <cell r="AA4">
            <v>2458889</v>
          </cell>
          <cell r="AB4"/>
          <cell r="AC4"/>
          <cell r="AD4"/>
          <cell r="AE4">
            <v>0</v>
          </cell>
        </row>
        <row r="5">
          <cell r="U5" t="str">
            <v>Herio Green</v>
          </cell>
          <cell r="V5"/>
          <cell r="W5">
            <v>12000000</v>
          </cell>
          <cell r="X5">
            <v>6000000</v>
          </cell>
          <cell r="Y5">
            <v>9000000</v>
          </cell>
          <cell r="Z5">
            <v>500000</v>
          </cell>
          <cell r="AA5">
            <v>2458889</v>
          </cell>
          <cell r="AB5"/>
          <cell r="AC5"/>
          <cell r="AD5"/>
          <cell r="AE5">
            <v>0</v>
          </cell>
        </row>
        <row r="6">
          <cell r="U6" t="str">
            <v>Nerio Green</v>
          </cell>
          <cell r="V6"/>
          <cell r="W6">
            <v>16000000</v>
          </cell>
          <cell r="X6">
            <v>8000000</v>
          </cell>
          <cell r="Y6">
            <v>12000000</v>
          </cell>
          <cell r="Z6">
            <v>800000</v>
          </cell>
          <cell r="AA6">
            <v>2458889</v>
          </cell>
          <cell r="AB6"/>
          <cell r="AC6"/>
          <cell r="AD6"/>
          <cell r="AE6">
            <v>0</v>
          </cell>
        </row>
        <row r="7">
          <cell r="U7" t="str">
            <v>Limo Green</v>
          </cell>
          <cell r="V7"/>
          <cell r="W7">
            <v>19000000</v>
          </cell>
          <cell r="X7">
            <v>9500000</v>
          </cell>
          <cell r="Y7">
            <v>14250000</v>
          </cell>
          <cell r="Z7">
            <v>800000</v>
          </cell>
          <cell r="AA7">
            <v>4202111</v>
          </cell>
          <cell r="AB7"/>
          <cell r="AC7"/>
          <cell r="AD7"/>
          <cell r="AE7">
            <v>0</v>
          </cell>
        </row>
        <row r="8">
          <cell r="U8" t="str">
            <v>Limo MPV 7</v>
          </cell>
          <cell r="V8"/>
          <cell r="W8">
            <v>20000000</v>
          </cell>
          <cell r="X8">
            <v>10000000</v>
          </cell>
          <cell r="Y8">
            <v>15000000</v>
          </cell>
          <cell r="Z8">
            <v>800000</v>
          </cell>
          <cell r="AA8">
            <v>4202111</v>
          </cell>
          <cell r="AB8"/>
          <cell r="AC8"/>
          <cell r="AD8"/>
          <cell r="AE8">
            <v>0</v>
          </cell>
        </row>
        <row r="9">
          <cell r="U9" t="str">
            <v>VF3 Eco</v>
          </cell>
          <cell r="V9"/>
          <cell r="W9">
            <v>8000000</v>
          </cell>
          <cell r="X9">
            <v>4000000</v>
          </cell>
          <cell r="Y9">
            <v>6000000</v>
          </cell>
          <cell r="Z9">
            <v>300000</v>
          </cell>
          <cell r="AA9">
            <v>3279000</v>
          </cell>
          <cell r="AB9"/>
          <cell r="AC9"/>
          <cell r="AD9"/>
          <cell r="AE9">
            <v>0</v>
          </cell>
        </row>
        <row r="10">
          <cell r="U10" t="str">
            <v>VF3 Plus</v>
          </cell>
          <cell r="V10"/>
          <cell r="W10">
            <v>8500000</v>
          </cell>
          <cell r="X10">
            <v>4250000</v>
          </cell>
          <cell r="Y10">
            <v>6375000</v>
          </cell>
          <cell r="Z10">
            <v>300000</v>
          </cell>
          <cell r="AA10">
            <v>3279000</v>
          </cell>
          <cell r="AB10"/>
          <cell r="AC10"/>
          <cell r="AD10"/>
          <cell r="AE10">
            <v>0</v>
          </cell>
        </row>
        <row r="11">
          <cell r="U11" t="str">
            <v>VF5</v>
          </cell>
          <cell r="V11"/>
          <cell r="W11">
            <v>16000000</v>
          </cell>
          <cell r="X11">
            <v>8000000</v>
          </cell>
          <cell r="Y11">
            <v>12000000</v>
          </cell>
          <cell r="Z11">
            <v>500000</v>
          </cell>
          <cell r="AA11">
            <v>3829889</v>
          </cell>
          <cell r="AB11"/>
          <cell r="AC11"/>
          <cell r="AD11"/>
          <cell r="AE11">
            <v>0</v>
          </cell>
        </row>
        <row r="12">
          <cell r="U12" t="str">
            <v xml:space="preserve">VF6 Eco </v>
          </cell>
          <cell r="V12"/>
          <cell r="W12">
            <v>20000000</v>
          </cell>
          <cell r="X12">
            <v>10000000</v>
          </cell>
          <cell r="Y12">
            <v>15000000</v>
          </cell>
          <cell r="Z12">
            <v>800000</v>
          </cell>
          <cell r="AA12">
            <v>3829889</v>
          </cell>
          <cell r="AB12"/>
          <cell r="AC12"/>
          <cell r="AD12"/>
          <cell r="AE12">
            <v>0</v>
          </cell>
        </row>
        <row r="13">
          <cell r="U13" t="str">
            <v>VF6 Plus</v>
          </cell>
          <cell r="V13"/>
          <cell r="W13">
            <v>20000000</v>
          </cell>
          <cell r="X13">
            <v>10000000</v>
          </cell>
          <cell r="Y13">
            <v>15000000</v>
          </cell>
          <cell r="Z13">
            <v>800000</v>
          </cell>
          <cell r="AA13">
            <v>3829889</v>
          </cell>
          <cell r="AB13"/>
          <cell r="AC13"/>
          <cell r="AD13"/>
          <cell r="AE13">
            <v>0</v>
          </cell>
        </row>
        <row r="14">
          <cell r="U14" t="str">
            <v>VF7 Eco</v>
          </cell>
          <cell r="V14"/>
          <cell r="W14">
            <v>28000000</v>
          </cell>
          <cell r="X14">
            <v>14000000</v>
          </cell>
          <cell r="Y14">
            <v>21000000</v>
          </cell>
          <cell r="Z14">
            <v>1000000</v>
          </cell>
          <cell r="AA14">
            <v>3829889</v>
          </cell>
          <cell r="AB14"/>
          <cell r="AC14"/>
          <cell r="AD14"/>
          <cell r="AE14">
            <v>0</v>
          </cell>
        </row>
        <row r="15">
          <cell r="U15" t="str">
            <v>VF7 Plus</v>
          </cell>
          <cell r="V15"/>
          <cell r="W15">
            <v>28000000</v>
          </cell>
          <cell r="X15">
            <v>14000000</v>
          </cell>
          <cell r="Y15">
            <v>21000000</v>
          </cell>
          <cell r="Z15">
            <v>1000000</v>
          </cell>
          <cell r="AA15">
            <v>3829889</v>
          </cell>
          <cell r="AB15"/>
          <cell r="AC15"/>
          <cell r="AD15"/>
          <cell r="AE15">
            <v>0</v>
          </cell>
        </row>
        <row r="16">
          <cell r="U16" t="str">
            <v xml:space="preserve">VF8 Eco </v>
          </cell>
          <cell r="V16"/>
          <cell r="W16">
            <v>40000000</v>
          </cell>
          <cell r="X16">
            <v>20000000</v>
          </cell>
          <cell r="Y16">
            <v>30000000</v>
          </cell>
          <cell r="Z16">
            <v>1000000</v>
          </cell>
          <cell r="AA16">
            <v>4729889</v>
          </cell>
          <cell r="AB16"/>
          <cell r="AC16"/>
          <cell r="AD16"/>
          <cell r="AE16">
            <v>0</v>
          </cell>
        </row>
        <row r="17">
          <cell r="U17" t="str">
            <v>VF8 Plus</v>
          </cell>
          <cell r="V17"/>
          <cell r="W17">
            <v>40000000</v>
          </cell>
          <cell r="X17">
            <v>20000000</v>
          </cell>
          <cell r="Y17">
            <v>30000000</v>
          </cell>
          <cell r="Z17">
            <v>1000000</v>
          </cell>
          <cell r="AA17">
            <v>4729889</v>
          </cell>
          <cell r="AB17"/>
          <cell r="AC17"/>
          <cell r="AD17"/>
          <cell r="AE17">
            <v>0</v>
          </cell>
        </row>
        <row r="18">
          <cell r="U18" t="str">
            <v>VF9 Eco</v>
          </cell>
          <cell r="V18"/>
          <cell r="W18">
            <v>80000000</v>
          </cell>
          <cell r="X18">
            <v>40000000</v>
          </cell>
          <cell r="Y18">
            <v>60000000</v>
          </cell>
          <cell r="Z18">
            <v>1500000</v>
          </cell>
          <cell r="AA18">
            <v>4802111</v>
          </cell>
          <cell r="AB18"/>
          <cell r="AC18"/>
          <cell r="AD18"/>
          <cell r="AE18">
            <v>0</v>
          </cell>
        </row>
        <row r="19">
          <cell r="U19" t="str">
            <v>VF9 Plus</v>
          </cell>
          <cell r="V19"/>
          <cell r="W19">
            <v>80000000</v>
          </cell>
          <cell r="X19">
            <v>40000000</v>
          </cell>
          <cell r="Y19">
            <v>60000000</v>
          </cell>
          <cell r="Z19">
            <v>1500000</v>
          </cell>
          <cell r="AA19">
            <v>4802111</v>
          </cell>
          <cell r="AB19"/>
          <cell r="AC19"/>
          <cell r="AD19"/>
          <cell r="AE19">
            <v>0</v>
          </cell>
        </row>
        <row r="20">
          <cell r="U20" t="str">
            <v>Lạc Hồng</v>
          </cell>
          <cell r="V20"/>
          <cell r="W20">
            <v>110000000</v>
          </cell>
          <cell r="X20">
            <v>55000000</v>
          </cell>
          <cell r="Y20">
            <v>82500000</v>
          </cell>
          <cell r="Z20">
            <v>4500000</v>
          </cell>
          <cell r="AA20"/>
          <cell r="AB20"/>
          <cell r="AC20"/>
          <cell r="AD20"/>
          <cell r="AE20">
            <v>0</v>
          </cell>
        </row>
        <row r="21">
          <cell r="AB21"/>
          <cell r="AC21"/>
          <cell r="AD21"/>
          <cell r="AE21">
            <v>0</v>
          </cell>
        </row>
        <row r="24">
          <cell r="U24" t="str">
            <v>TT</v>
          </cell>
          <cell r="V24" t="str">
            <v>Dòng xe</v>
          </cell>
          <cell r="W24" t="str">
            <v>Phiên bản</v>
          </cell>
          <cell r="X24" t="str">
            <v>Số chỗ ngồi</v>
          </cell>
          <cell r="Y24"/>
          <cell r="Z24" t="str">
            <v>GIÁ TRỊ XE</v>
          </cell>
          <cell r="AA24" t="str">
            <v>PHÍ BẢO HIỂM 
(BAO GỒM VAT)
(1)</v>
          </cell>
          <cell r="AB24" t="str">
            <v>Tổng phí BH VCX Thanh toán về TASCO 
(XE KHÔNG KD)
(3)</v>
          </cell>
          <cell r="AC24" t="str">
            <v>PHÍ BẢO HIỂM (BAO GỒM VAT)
(2)</v>
          </cell>
          <cell r="AD24" t="str">
            <v>Tổng phí BH VCX Thanh toán về TASCO 
(XE KINH DOANH)
(4)</v>
          </cell>
          <cell r="AE24" t="str">
            <v>PHÍ CHÊNH LỆCH 
BH XE KINH DOANH SR. HỒ CHÍ MINH</v>
          </cell>
        </row>
        <row r="25">
          <cell r="U25"/>
          <cell r="V25"/>
          <cell r="W25"/>
          <cell r="X25"/>
          <cell r="Y25"/>
          <cell r="Z25"/>
          <cell r="AA25" t="str">
            <v>Phí BH VCX
MKT 500K</v>
          </cell>
          <cell r="AB25"/>
          <cell r="AC25" t="str">
            <v>Phí BH VCX
MKT 1.000K</v>
          </cell>
          <cell r="AD25"/>
          <cell r="AE25"/>
        </row>
        <row r="26">
          <cell r="U26">
            <v>1</v>
          </cell>
          <cell r="V26" t="str">
            <v>VF5</v>
          </cell>
          <cell r="W26" t="str">
            <v>Plus</v>
          </cell>
          <cell r="X26">
            <v>5</v>
          </cell>
          <cell r="Y26"/>
          <cell r="Z26">
            <v>497260000</v>
          </cell>
          <cell r="AA26">
            <v>6940000</v>
          </cell>
          <cell r="AB26">
            <v>5478181.8181818184</v>
          </cell>
          <cell r="AC26">
            <v>8727000</v>
          </cell>
          <cell r="AD26">
            <v>6840272.7272727275</v>
          </cell>
          <cell r="AE26">
            <v>860272.72727272753</v>
          </cell>
        </row>
        <row r="27">
          <cell r="U27">
            <v>2</v>
          </cell>
          <cell r="V27" t="str">
            <v xml:space="preserve">VF6 Eco </v>
          </cell>
          <cell r="W27" t="str">
            <v>Eco_TC1</v>
          </cell>
          <cell r="X27">
            <v>5</v>
          </cell>
          <cell r="Y27"/>
          <cell r="Z27">
            <v>647660000</v>
          </cell>
          <cell r="AA27">
            <v>7410000</v>
          </cell>
          <cell r="AB27">
            <v>5862727.2727272725</v>
          </cell>
          <cell r="AC27">
            <v>10039000</v>
          </cell>
          <cell r="AD27">
            <v>7863727.2727272734</v>
          </cell>
          <cell r="AE27">
            <v>1543727.2727272734</v>
          </cell>
        </row>
        <row r="28">
          <cell r="U28">
            <v>3</v>
          </cell>
          <cell r="V28" t="str">
            <v>VF6 Plus</v>
          </cell>
          <cell r="W28" t="str">
            <v>Plus_TC1</v>
          </cell>
          <cell r="X28">
            <v>5</v>
          </cell>
          <cell r="Y28"/>
          <cell r="Z28">
            <v>704060000</v>
          </cell>
          <cell r="AA28">
            <v>7922000</v>
          </cell>
          <cell r="AB28">
            <v>6231636.3636363633</v>
          </cell>
          <cell r="AC28">
            <v>9857000</v>
          </cell>
          <cell r="AD28">
            <v>7714818.1818181816</v>
          </cell>
          <cell r="AE28">
            <v>1394818.1818181816</v>
          </cell>
        </row>
        <row r="29">
          <cell r="U29"/>
          <cell r="V29" t="str">
            <v>VF6 Plus</v>
          </cell>
          <cell r="W29" t="str">
            <v>Plus_TC2</v>
          </cell>
          <cell r="X29">
            <v>5</v>
          </cell>
          <cell r="Y29"/>
          <cell r="Z29">
            <v>700300000</v>
          </cell>
          <cell r="AA29">
            <v>7880000</v>
          </cell>
          <cell r="AB29">
            <v>6197272.7272727275</v>
          </cell>
          <cell r="AC29">
            <v>9805000</v>
          </cell>
          <cell r="AD29">
            <v>7672272.7272727275</v>
          </cell>
          <cell r="AE29">
            <v>1352272.7272727275</v>
          </cell>
        </row>
        <row r="30">
          <cell r="U30">
            <v>4</v>
          </cell>
          <cell r="V30" t="str">
            <v>VF6 Plus</v>
          </cell>
          <cell r="W30" t="str">
            <v>Nâng Cấp</v>
          </cell>
          <cell r="X30">
            <v>5</v>
          </cell>
          <cell r="Y30"/>
          <cell r="Z30">
            <v>713460000</v>
          </cell>
          <cell r="AA30">
            <v>8028000</v>
          </cell>
          <cell r="AB30">
            <v>6318363.6363636367</v>
          </cell>
          <cell r="AC30">
            <v>9989000</v>
          </cell>
          <cell r="AD30">
            <v>7822818.1818181816</v>
          </cell>
          <cell r="AE30">
            <v>1502818.1818181816</v>
          </cell>
        </row>
        <row r="31">
          <cell r="U31"/>
          <cell r="V31" t="str">
            <v>Herio Green</v>
          </cell>
          <cell r="W31" t="str">
            <v>TC1</v>
          </cell>
          <cell r="X31">
            <v>5</v>
          </cell>
          <cell r="Y31"/>
          <cell r="Z31">
            <v>469060000</v>
          </cell>
          <cell r="AA31">
            <v>6545000</v>
          </cell>
          <cell r="AB31">
            <v>5155000</v>
          </cell>
          <cell r="AC31">
            <v>8233000</v>
          </cell>
          <cell r="AD31">
            <v>6436090.9090909092</v>
          </cell>
          <cell r="AE31">
            <v>1227090.9090909092</v>
          </cell>
        </row>
        <row r="32">
          <cell r="U32"/>
          <cell r="V32" t="str">
            <v>Herio Green</v>
          </cell>
          <cell r="W32" t="str">
            <v>TC2</v>
          </cell>
          <cell r="X32">
            <v>5</v>
          </cell>
          <cell r="Y32"/>
          <cell r="Z32">
            <v>450260000</v>
          </cell>
          <cell r="AA32">
            <v>6283000</v>
          </cell>
          <cell r="AB32">
            <v>4940636.3636363633</v>
          </cell>
          <cell r="AC32">
            <v>7903000</v>
          </cell>
          <cell r="AD32">
            <v>6166090.9090909092</v>
          </cell>
          <cell r="AE32">
            <v>957090.90909090918</v>
          </cell>
        </row>
        <row r="33">
          <cell r="U33">
            <v>5</v>
          </cell>
          <cell r="V33" t="str">
            <v>Limo Green</v>
          </cell>
          <cell r="W33" t="str">
            <v>Limo Green</v>
          </cell>
          <cell r="X33">
            <v>7</v>
          </cell>
          <cell r="Y33"/>
          <cell r="Z33">
            <v>704060000</v>
          </cell>
          <cell r="AA33">
            <v>7922000</v>
          </cell>
          <cell r="AB33">
            <v>6181636.3636363633</v>
          </cell>
          <cell r="AC33">
            <v>9857000</v>
          </cell>
          <cell r="AD33">
            <v>7714818.1818181816</v>
          </cell>
          <cell r="AE33">
            <v>677818.18181818165</v>
          </cell>
        </row>
        <row r="34">
          <cell r="U34"/>
          <cell r="V34" t="str">
            <v>Limo MPV 7</v>
          </cell>
          <cell r="W34" t="str">
            <v>VF MPV 7</v>
          </cell>
          <cell r="X34">
            <v>7</v>
          </cell>
          <cell r="Y34"/>
          <cell r="Z34">
            <v>769860000</v>
          </cell>
          <cell r="AA34">
            <v>8662000</v>
          </cell>
          <cell r="AB34">
            <v>6787090.9090909092</v>
          </cell>
          <cell r="AC34">
            <v>10779000</v>
          </cell>
          <cell r="AD34">
            <v>8419181.8181818184</v>
          </cell>
          <cell r="AE34">
            <v>1382181.8181818184</v>
          </cell>
        </row>
      </sheetData>
      <sheetData sheetId="2">
        <row r="1">
          <cell r="C1"/>
          <cell r="F1"/>
          <cell r="G1"/>
          <cell r="H1">
            <v>0</v>
          </cell>
          <cell r="I1">
            <v>3144500000</v>
          </cell>
          <cell r="J1">
            <v>3144500000</v>
          </cell>
          <cell r="K1">
            <v>1000000</v>
          </cell>
          <cell r="L1">
            <v>0</v>
          </cell>
          <cell r="M1">
            <v>201</v>
          </cell>
        </row>
        <row r="2">
          <cell r="F2"/>
          <cell r="G2"/>
          <cell r="H2"/>
          <cell r="I2"/>
          <cell r="J2"/>
          <cell r="K2"/>
          <cell r="L2"/>
          <cell r="M2"/>
        </row>
        <row r="3">
          <cell r="C3"/>
          <cell r="D3"/>
          <cell r="E3"/>
          <cell r="F3"/>
          <cell r="G3"/>
          <cell r="H3"/>
          <cell r="I3"/>
          <cell r="J3"/>
          <cell r="K3"/>
          <cell r="L3"/>
          <cell r="M3"/>
        </row>
        <row r="4">
          <cell r="C4" t="str">
            <v>Họ và tên</v>
          </cell>
          <cell r="D4" t="str">
            <v>Showroom</v>
          </cell>
          <cell r="E4" t="str">
            <v>Ngày nhận việc</v>
          </cell>
          <cell r="F4" t="str">
            <v>Chức danh</v>
          </cell>
          <cell r="G4" t="str">
            <v>Chỉ tiêu sl xe 
T04.2026</v>
          </cell>
          <cell r="H4" t="str">
            <v>Lương HH đã đủ hồ sơ T04.2026</v>
          </cell>
          <cell r="I4" t="str">
            <v>Lương HH chưa nhận hồ sơ tháng 04.26</v>
          </cell>
          <cell r="J4" t="str">
            <v>Tổng lương HH T04.26</v>
          </cell>
          <cell r="K4" t="str">
            <v>Thưởng TVBH TNBH xuất sắc tháng 04</v>
          </cell>
          <cell r="L4" t="str">
            <v>SL xe XHD sau 17/11/2025</v>
          </cell>
          <cell r="M4" t="str">
            <v>SL xe XHĐ T04.2026</v>
          </cell>
        </row>
        <row r="5">
          <cell r="C5" t="str">
            <v>Nguyễn Anh Khoa</v>
          </cell>
          <cell r="D5" t="str">
            <v>Showroom Quang Trung</v>
          </cell>
          <cell r="E5" t="str">
            <v>12/05/2025</v>
          </cell>
          <cell r="F5" t="str">
            <v>NVKD</v>
          </cell>
          <cell r="G5">
            <v>4</v>
          </cell>
          <cell r="H5">
            <v>0</v>
          </cell>
          <cell r="I5">
            <v>16000000</v>
          </cell>
          <cell r="J5">
            <v>16000000</v>
          </cell>
          <cell r="K5"/>
          <cell r="L5"/>
          <cell r="M5">
            <v>1</v>
          </cell>
        </row>
        <row r="6">
          <cell r="C6" t="str">
            <v>Nguyễn Phi Vũ</v>
          </cell>
          <cell r="D6" t="str">
            <v>Showroom Quang Trung</v>
          </cell>
          <cell r="E6" t="str">
            <v>07/08/2025</v>
          </cell>
          <cell r="F6" t="str">
            <v>NVKD</v>
          </cell>
          <cell r="G6">
            <v>4</v>
          </cell>
          <cell r="H6">
            <v>0</v>
          </cell>
          <cell r="I6">
            <v>0</v>
          </cell>
          <cell r="J6">
            <v>0</v>
          </cell>
          <cell r="K6"/>
          <cell r="L6"/>
          <cell r="M6">
            <v>0</v>
          </cell>
        </row>
        <row r="7">
          <cell r="C7" t="str">
            <v>Nguyễn Huỳnh Duy Khan</v>
          </cell>
          <cell r="D7" t="str">
            <v>Showroom Quang Trung</v>
          </cell>
          <cell r="E7" t="str">
            <v>05/05/2025</v>
          </cell>
          <cell r="F7" t="str">
            <v>NVKD</v>
          </cell>
          <cell r="G7">
            <v>4</v>
          </cell>
          <cell r="H7">
            <v>0</v>
          </cell>
          <cell r="I7">
            <v>85000000</v>
          </cell>
          <cell r="J7">
            <v>85000000</v>
          </cell>
          <cell r="K7"/>
          <cell r="L7"/>
          <cell r="M7">
            <v>4</v>
          </cell>
        </row>
        <row r="8">
          <cell r="C8" t="str">
            <v>Phùng Bá An</v>
          </cell>
          <cell r="D8" t="str">
            <v>Showroom Quang Trung</v>
          </cell>
          <cell r="E8" t="str">
            <v>05/05/2025</v>
          </cell>
          <cell r="F8" t="str">
            <v>NVKD</v>
          </cell>
          <cell r="G8">
            <v>4</v>
          </cell>
          <cell r="H8">
            <v>0</v>
          </cell>
          <cell r="I8">
            <v>27000000</v>
          </cell>
          <cell r="J8">
            <v>27000000</v>
          </cell>
          <cell r="K8"/>
          <cell r="L8"/>
          <cell r="M8">
            <v>2</v>
          </cell>
        </row>
        <row r="9">
          <cell r="C9" t="str">
            <v>Huỳnh Thiên Đức</v>
          </cell>
          <cell r="D9" t="str">
            <v>Showroom Quang Trung</v>
          </cell>
          <cell r="E9" t="str">
            <v>21/11/2025</v>
          </cell>
          <cell r="F9" t="str">
            <v>NVKD</v>
          </cell>
          <cell r="G9">
            <v>4</v>
          </cell>
          <cell r="H9">
            <v>0</v>
          </cell>
          <cell r="I9">
            <v>27000000</v>
          </cell>
          <cell r="J9">
            <v>27000000</v>
          </cell>
          <cell r="K9"/>
          <cell r="L9"/>
          <cell r="M9">
            <v>2</v>
          </cell>
        </row>
        <row r="10">
          <cell r="C10" t="str">
            <v>Nguyễn Hữu Đức</v>
          </cell>
          <cell r="D10" t="str">
            <v>Showroom Quang Trung</v>
          </cell>
          <cell r="E10" t="str">
            <v>01/12/2025</v>
          </cell>
          <cell r="F10" t="str">
            <v>NVKD</v>
          </cell>
          <cell r="G10">
            <v>4</v>
          </cell>
          <cell r="H10">
            <v>0</v>
          </cell>
          <cell r="I10">
            <v>64500000</v>
          </cell>
          <cell r="J10">
            <v>64500000</v>
          </cell>
          <cell r="K10"/>
          <cell r="L10"/>
          <cell r="M10">
            <v>4</v>
          </cell>
        </row>
        <row r="11">
          <cell r="C11" t="str">
            <v>Trần Đặng Anh Huy</v>
          </cell>
          <cell r="D11" t="str">
            <v>Showroom Quang Trung</v>
          </cell>
          <cell r="E11" t="str">
            <v>01/12/2025</v>
          </cell>
          <cell r="F11" t="str">
            <v>NVKD</v>
          </cell>
          <cell r="G11">
            <v>4</v>
          </cell>
          <cell r="H11">
            <v>0</v>
          </cell>
          <cell r="I11">
            <v>54000000</v>
          </cell>
          <cell r="J11">
            <v>54000000</v>
          </cell>
          <cell r="K11"/>
          <cell r="L11"/>
          <cell r="M11">
            <v>4</v>
          </cell>
        </row>
        <row r="12">
          <cell r="C12" t="str">
            <v>Phan Thị Oanh</v>
          </cell>
          <cell r="D12" t="str">
            <v>Showroom Quang Trung</v>
          </cell>
          <cell r="E12" t="str">
            <v>01/12/2025</v>
          </cell>
          <cell r="F12" t="str">
            <v>TNBH</v>
          </cell>
          <cell r="G12"/>
          <cell r="H12">
            <v>0</v>
          </cell>
          <cell r="I12">
            <v>0</v>
          </cell>
          <cell r="J12">
            <v>0</v>
          </cell>
          <cell r="K12"/>
          <cell r="L12"/>
          <cell r="M12">
            <v>0</v>
          </cell>
        </row>
        <row r="13">
          <cell r="C13" t="str">
            <v>Nguyễn Hoàng Gia Trịnh</v>
          </cell>
          <cell r="D13" t="str">
            <v>Showroom Quang Trung</v>
          </cell>
          <cell r="E13" t="str">
            <v>26/12/2025</v>
          </cell>
          <cell r="F13" t="str">
            <v>TNBH</v>
          </cell>
          <cell r="G13"/>
          <cell r="H13">
            <v>0</v>
          </cell>
          <cell r="I13">
            <v>0</v>
          </cell>
          <cell r="J13">
            <v>0</v>
          </cell>
          <cell r="K13"/>
          <cell r="L13"/>
          <cell r="M13">
            <v>0</v>
          </cell>
        </row>
        <row r="14">
          <cell r="C14" t="str">
            <v>Phạm Trung Kiên</v>
          </cell>
          <cell r="D14" t="str">
            <v>Showroom Quang Trung</v>
          </cell>
          <cell r="E14" t="str">
            <v>01/12/2025</v>
          </cell>
          <cell r="F14" t="str">
            <v>NVKD</v>
          </cell>
          <cell r="G14">
            <v>4</v>
          </cell>
          <cell r="H14">
            <v>0</v>
          </cell>
          <cell r="I14">
            <v>96000000</v>
          </cell>
          <cell r="J14">
            <v>96000000</v>
          </cell>
          <cell r="K14"/>
          <cell r="L14"/>
          <cell r="M14">
            <v>5</v>
          </cell>
        </row>
        <row r="15">
          <cell r="C15" t="str">
            <v>Triệu Nguyễn Tú Hào</v>
          </cell>
          <cell r="D15" t="str">
            <v>Showroom Quang Trung</v>
          </cell>
          <cell r="E15" t="str">
            <v>01/12/2025</v>
          </cell>
          <cell r="F15" t="str">
            <v>NVKD</v>
          </cell>
          <cell r="G15">
            <v>4</v>
          </cell>
          <cell r="H15">
            <v>0</v>
          </cell>
          <cell r="I15">
            <v>27000000</v>
          </cell>
          <cell r="J15">
            <v>27000000</v>
          </cell>
          <cell r="K15"/>
          <cell r="L15"/>
          <cell r="M15">
            <v>2</v>
          </cell>
        </row>
        <row r="16">
          <cell r="C16" t="str">
            <v>Trần Minh Phương</v>
          </cell>
          <cell r="D16" t="str">
            <v>Showroom Quang Trung</v>
          </cell>
          <cell r="E16" t="str">
            <v>19/01/2026</v>
          </cell>
          <cell r="F16" t="str">
            <v>NVKD</v>
          </cell>
          <cell r="G16">
            <v>0</v>
          </cell>
          <cell r="H16">
            <v>0</v>
          </cell>
          <cell r="I16">
            <v>20000000</v>
          </cell>
          <cell r="J16">
            <v>20000000</v>
          </cell>
          <cell r="K16"/>
          <cell r="L16"/>
          <cell r="M16">
            <v>1</v>
          </cell>
        </row>
        <row r="17">
          <cell r="C17" t="str">
            <v>Hà Duy Khang</v>
          </cell>
          <cell r="D17" t="str">
            <v>Showroom Quang Trung</v>
          </cell>
          <cell r="E17">
            <v>46076</v>
          </cell>
          <cell r="F17" t="str">
            <v>NVKD</v>
          </cell>
          <cell r="G17">
            <v>3</v>
          </cell>
          <cell r="H17">
            <v>0</v>
          </cell>
          <cell r="I17">
            <v>16500000</v>
          </cell>
          <cell r="J17">
            <v>16500000</v>
          </cell>
          <cell r="K17"/>
          <cell r="L17"/>
          <cell r="M17">
            <v>2</v>
          </cell>
        </row>
        <row r="18">
          <cell r="C18" t="str">
            <v>Nguyễn Vân Thi</v>
          </cell>
          <cell r="D18" t="str">
            <v>Showroom Quang Trung</v>
          </cell>
          <cell r="E18">
            <v>46077</v>
          </cell>
          <cell r="F18" t="str">
            <v>NVKD</v>
          </cell>
          <cell r="G18">
            <v>3</v>
          </cell>
          <cell r="H18">
            <v>0</v>
          </cell>
          <cell r="I18">
            <v>24000000</v>
          </cell>
          <cell r="J18">
            <v>24000000</v>
          </cell>
          <cell r="K18"/>
          <cell r="L18"/>
          <cell r="M18">
            <v>2</v>
          </cell>
        </row>
        <row r="19">
          <cell r="C19" t="str">
            <v>Nguyễn Trọng Hưng</v>
          </cell>
          <cell r="D19" t="str">
            <v>Showroom Quang Trung</v>
          </cell>
          <cell r="E19" t="str">
            <v>09/03/2026</v>
          </cell>
          <cell r="F19" t="str">
            <v>NVKD</v>
          </cell>
          <cell r="G19">
            <v>3</v>
          </cell>
          <cell r="H19">
            <v>0</v>
          </cell>
          <cell r="I19">
            <v>16500000</v>
          </cell>
          <cell r="J19">
            <v>16500000</v>
          </cell>
          <cell r="K19"/>
          <cell r="L19"/>
          <cell r="M19">
            <v>2</v>
          </cell>
        </row>
        <row r="20">
          <cell r="C20" t="str">
            <v>Huỳnh Thanh Tài</v>
          </cell>
          <cell r="D20" t="str">
            <v>Showroom Quang Trung</v>
          </cell>
          <cell r="E20"/>
          <cell r="F20" t="str">
            <v>NVKD</v>
          </cell>
          <cell r="G20"/>
          <cell r="H20">
            <v>0</v>
          </cell>
          <cell r="I20">
            <v>39000000</v>
          </cell>
          <cell r="J20">
            <v>39000000</v>
          </cell>
          <cell r="K20"/>
          <cell r="L20"/>
          <cell r="M20">
            <v>2</v>
          </cell>
        </row>
        <row r="21">
          <cell r="C21" t="str">
            <v>Lê Thanh Thuỷ</v>
          </cell>
          <cell r="D21" t="str">
            <v>Showroom Quang Trung</v>
          </cell>
          <cell r="E21"/>
          <cell r="F21" t="str">
            <v>NVKD</v>
          </cell>
          <cell r="G21"/>
          <cell r="H21">
            <v>0</v>
          </cell>
          <cell r="I21">
            <v>40000000</v>
          </cell>
          <cell r="J21">
            <v>40000000</v>
          </cell>
          <cell r="K21"/>
          <cell r="L21"/>
          <cell r="M21">
            <v>2</v>
          </cell>
        </row>
        <row r="22">
          <cell r="C22" t="str">
            <v>Nguyễn Trung Hiếu</v>
          </cell>
          <cell r="D22" t="str">
            <v>Showroom Quang Trung</v>
          </cell>
          <cell r="E22"/>
          <cell r="F22" t="str">
            <v>NVKD</v>
          </cell>
          <cell r="G22"/>
          <cell r="H22">
            <v>0</v>
          </cell>
          <cell r="I22">
            <v>16000000</v>
          </cell>
          <cell r="J22">
            <v>16000000</v>
          </cell>
          <cell r="K22"/>
          <cell r="L22"/>
          <cell r="M22">
            <v>1</v>
          </cell>
        </row>
        <row r="23">
          <cell r="C23" t="str">
            <v>Bành Thanh Sơn</v>
          </cell>
          <cell r="D23" t="str">
            <v>Showroom Sala</v>
          </cell>
          <cell r="E23" t="str">
            <v>10/03/2025</v>
          </cell>
          <cell r="F23" t="str">
            <v>TNBH</v>
          </cell>
          <cell r="G23"/>
          <cell r="H23">
            <v>0</v>
          </cell>
          <cell r="I23">
            <v>0</v>
          </cell>
          <cell r="J23">
            <v>0</v>
          </cell>
          <cell r="K23"/>
          <cell r="L23"/>
          <cell r="M23">
            <v>0</v>
          </cell>
        </row>
        <row r="24">
          <cell r="C24" t="str">
            <v>Đoàn Văn Cương</v>
          </cell>
          <cell r="D24" t="str">
            <v>Showroom HCM</v>
          </cell>
          <cell r="E24" t="str">
            <v>01/09/2025</v>
          </cell>
          <cell r="F24" t="str">
            <v>NVKD</v>
          </cell>
          <cell r="G24">
            <v>4</v>
          </cell>
          <cell r="H24">
            <v>0</v>
          </cell>
          <cell r="I24">
            <v>100500000</v>
          </cell>
          <cell r="J24">
            <v>100500000</v>
          </cell>
          <cell r="K24"/>
          <cell r="L24"/>
          <cell r="M24">
            <v>3</v>
          </cell>
        </row>
        <row r="25">
          <cell r="C25" t="str">
            <v>Châu Phạm Thành Đạt</v>
          </cell>
          <cell r="D25" t="str">
            <v>Showroom Sala</v>
          </cell>
          <cell r="E25" t="str">
            <v>16/06/2025</v>
          </cell>
          <cell r="F25" t="str">
            <v>NVKD</v>
          </cell>
          <cell r="G25">
            <v>4</v>
          </cell>
          <cell r="H25">
            <v>0</v>
          </cell>
          <cell r="I25">
            <v>27500000</v>
          </cell>
          <cell r="J25">
            <v>27500000</v>
          </cell>
          <cell r="K25"/>
          <cell r="L25"/>
          <cell r="M25">
            <v>2</v>
          </cell>
        </row>
        <row r="26">
          <cell r="C26" t="str">
            <v>Huỳnh Văn Bảo</v>
          </cell>
          <cell r="D26" t="str">
            <v>Showroom Sala</v>
          </cell>
          <cell r="E26" t="str">
            <v>10/03/2025</v>
          </cell>
          <cell r="F26" t="str">
            <v>NVKD</v>
          </cell>
          <cell r="G26">
            <v>4</v>
          </cell>
          <cell r="H26">
            <v>0</v>
          </cell>
          <cell r="I26">
            <v>19000000</v>
          </cell>
          <cell r="J26">
            <v>19000000</v>
          </cell>
          <cell r="K26"/>
          <cell r="L26"/>
          <cell r="M26">
            <v>1</v>
          </cell>
        </row>
        <row r="27">
          <cell r="C27" t="str">
            <v>Vũ Thị Bích Hằng</v>
          </cell>
          <cell r="D27" t="str">
            <v>Showroom Sala</v>
          </cell>
          <cell r="E27" t="str">
            <v>21/03/2025</v>
          </cell>
          <cell r="F27" t="str">
            <v>NVKD</v>
          </cell>
          <cell r="G27">
            <v>4</v>
          </cell>
          <cell r="H27">
            <v>0</v>
          </cell>
          <cell r="I27">
            <v>49500000</v>
          </cell>
          <cell r="J27">
            <v>49500000</v>
          </cell>
          <cell r="K27"/>
          <cell r="L27"/>
          <cell r="M27">
            <v>4</v>
          </cell>
        </row>
        <row r="28">
          <cell r="C28" t="str">
            <v>Nguyễn Văn Vĩnh</v>
          </cell>
          <cell r="D28" t="str">
            <v>Showroom Sala</v>
          </cell>
          <cell r="E28" t="str">
            <v>04/12/2025</v>
          </cell>
          <cell r="F28" t="str">
            <v>NVKD</v>
          </cell>
          <cell r="G28">
            <v>4</v>
          </cell>
          <cell r="H28">
            <v>0</v>
          </cell>
          <cell r="I28">
            <v>38000000</v>
          </cell>
          <cell r="J28">
            <v>38000000</v>
          </cell>
          <cell r="K28"/>
          <cell r="L28"/>
          <cell r="M28">
            <v>2</v>
          </cell>
        </row>
        <row r="29">
          <cell r="C29" t="str">
            <v>Phan Thị Diễm Nga</v>
          </cell>
          <cell r="D29" t="str">
            <v>Showroom Sala</v>
          </cell>
          <cell r="E29" t="str">
            <v>08/12/2025</v>
          </cell>
          <cell r="F29" t="str">
            <v>NVKD</v>
          </cell>
          <cell r="G29">
            <v>4</v>
          </cell>
          <cell r="H29">
            <v>0</v>
          </cell>
          <cell r="I29">
            <v>19000000</v>
          </cell>
          <cell r="J29">
            <v>19000000</v>
          </cell>
          <cell r="K29"/>
          <cell r="L29"/>
          <cell r="M29">
            <v>1</v>
          </cell>
        </row>
        <row r="30">
          <cell r="C30" t="str">
            <v>Bùi Xuân Minh</v>
          </cell>
          <cell r="D30" t="str">
            <v>Showroom Sala</v>
          </cell>
          <cell r="E30" t="str">
            <v>05/01/2026</v>
          </cell>
          <cell r="F30" t="str">
            <v>NVKD</v>
          </cell>
          <cell r="G30"/>
          <cell r="H30">
            <v>0</v>
          </cell>
          <cell r="I30">
            <v>31500000</v>
          </cell>
          <cell r="J30">
            <v>31500000</v>
          </cell>
          <cell r="K30"/>
          <cell r="L30"/>
          <cell r="M30">
            <v>3</v>
          </cell>
        </row>
        <row r="31">
          <cell r="C31" t="str">
            <v>Võ Văn Kiên</v>
          </cell>
          <cell r="D31" t="str">
            <v>Showroom Sala</v>
          </cell>
          <cell r="E31" t="str">
            <v>07/01/2026</v>
          </cell>
          <cell r="F31" t="str">
            <v>NVKD</v>
          </cell>
          <cell r="G31">
            <v>4</v>
          </cell>
          <cell r="H31">
            <v>0</v>
          </cell>
          <cell r="I31">
            <v>56000000</v>
          </cell>
          <cell r="J31">
            <v>56000000</v>
          </cell>
          <cell r="K31"/>
          <cell r="L31"/>
          <cell r="M31">
            <v>3</v>
          </cell>
        </row>
        <row r="32">
          <cell r="C32" t="str">
            <v>Lê Minh Sang</v>
          </cell>
          <cell r="D32" t="str">
            <v>Showroom Sala</v>
          </cell>
          <cell r="E32" t="str">
            <v>26/01/2026</v>
          </cell>
          <cell r="F32" t="str">
            <v>NVKD</v>
          </cell>
          <cell r="G32">
            <v>3</v>
          </cell>
          <cell r="H32">
            <v>0</v>
          </cell>
          <cell r="I32">
            <v>16000000</v>
          </cell>
          <cell r="J32">
            <v>16000000</v>
          </cell>
          <cell r="K32"/>
          <cell r="L32"/>
          <cell r="M32">
            <v>1</v>
          </cell>
        </row>
        <row r="33">
          <cell r="C33" t="str">
            <v>Nguyễn Trần Anh Huy</v>
          </cell>
          <cell r="D33" t="str">
            <v>Showroom Sala</v>
          </cell>
          <cell r="E33" t="str">
            <v>02/02/2026</v>
          </cell>
          <cell r="F33" t="str">
            <v>NVKD</v>
          </cell>
          <cell r="G33">
            <v>3</v>
          </cell>
          <cell r="H33">
            <v>0</v>
          </cell>
          <cell r="I33">
            <v>0</v>
          </cell>
          <cell r="J33">
            <v>0</v>
          </cell>
          <cell r="K33"/>
          <cell r="L33"/>
          <cell r="M33">
            <v>0</v>
          </cell>
        </row>
        <row r="34">
          <cell r="C34" t="str">
            <v>Lê Hoàng Anh</v>
          </cell>
          <cell r="D34" t="str">
            <v>Showroom Sala</v>
          </cell>
          <cell r="E34" t="str">
            <v>03/03/2025</v>
          </cell>
          <cell r="F34" t="str">
            <v>NVKD</v>
          </cell>
          <cell r="G34">
            <v>3</v>
          </cell>
          <cell r="H34">
            <v>0</v>
          </cell>
          <cell r="I34">
            <v>16000000</v>
          </cell>
          <cell r="J34">
            <v>16000000</v>
          </cell>
          <cell r="K34"/>
          <cell r="L34"/>
          <cell r="M34">
            <v>1</v>
          </cell>
        </row>
        <row r="35">
          <cell r="C35" t="str">
            <v>Huỳnh Quốc Huy</v>
          </cell>
          <cell r="D35" t="str">
            <v>Showroom Sala</v>
          </cell>
          <cell r="E35" t="str">
            <v>05/03/2026</v>
          </cell>
          <cell r="F35" t="str">
            <v>NVKD</v>
          </cell>
          <cell r="G35">
            <v>3</v>
          </cell>
          <cell r="H35">
            <v>0</v>
          </cell>
          <cell r="I35">
            <v>40500000</v>
          </cell>
          <cell r="J35">
            <v>40500000</v>
          </cell>
          <cell r="K35"/>
          <cell r="L35"/>
          <cell r="M35">
            <v>3</v>
          </cell>
        </row>
        <row r="36">
          <cell r="C36" t="str">
            <v>Phạm Thị Kim Dung</v>
          </cell>
          <cell r="D36" t="str">
            <v>Showroom Sala</v>
          </cell>
          <cell r="E36" t="str">
            <v>10/03/2026</v>
          </cell>
          <cell r="F36" t="str">
            <v>NVKD</v>
          </cell>
          <cell r="G36">
            <v>3</v>
          </cell>
          <cell r="H36">
            <v>0</v>
          </cell>
          <cell r="I36">
            <v>39000000</v>
          </cell>
          <cell r="J36">
            <v>39000000</v>
          </cell>
          <cell r="K36"/>
          <cell r="L36"/>
          <cell r="M36">
            <v>2</v>
          </cell>
        </row>
        <row r="37">
          <cell r="C37" t="str">
            <v>Trần Gia Huy</v>
          </cell>
          <cell r="D37" t="str">
            <v>Showroom Sala</v>
          </cell>
          <cell r="E37" t="str">
            <v>10/03/2026</v>
          </cell>
          <cell r="F37" t="str">
            <v>NVKD</v>
          </cell>
          <cell r="G37">
            <v>3</v>
          </cell>
          <cell r="H37">
            <v>0</v>
          </cell>
          <cell r="I37">
            <v>7500000</v>
          </cell>
          <cell r="J37">
            <v>7500000</v>
          </cell>
          <cell r="K37"/>
          <cell r="L37"/>
          <cell r="M37">
            <v>1</v>
          </cell>
        </row>
        <row r="38">
          <cell r="C38" t="str">
            <v>Nguyễn Duy Khang</v>
          </cell>
          <cell r="D38" t="str">
            <v>Showroom Sala</v>
          </cell>
          <cell r="E38" t="str">
            <v>16/03/2026</v>
          </cell>
          <cell r="F38" t="str">
            <v>NVKD</v>
          </cell>
          <cell r="G38"/>
          <cell r="H38">
            <v>0</v>
          </cell>
          <cell r="I38">
            <v>19000000</v>
          </cell>
          <cell r="J38">
            <v>19000000</v>
          </cell>
          <cell r="K38"/>
          <cell r="L38"/>
          <cell r="M38">
            <v>1</v>
          </cell>
        </row>
        <row r="39">
          <cell r="C39" t="str">
            <v>Lâm Hưng Hiền</v>
          </cell>
          <cell r="D39" t="str">
            <v>Showroom Sala</v>
          </cell>
          <cell r="E39" t="str">
            <v>19/03/2026</v>
          </cell>
          <cell r="F39" t="str">
            <v>NVKD</v>
          </cell>
          <cell r="G39"/>
          <cell r="H39">
            <v>0</v>
          </cell>
          <cell r="I39">
            <v>0</v>
          </cell>
          <cell r="J39">
            <v>0</v>
          </cell>
          <cell r="K39"/>
          <cell r="L39"/>
          <cell r="M39">
            <v>0</v>
          </cell>
        </row>
        <row r="40">
          <cell r="C40" t="str">
            <v>Nguyễn Văn Đức</v>
          </cell>
          <cell r="D40" t="str">
            <v>Showroom Sala</v>
          </cell>
          <cell r="E40"/>
          <cell r="F40"/>
          <cell r="G40"/>
          <cell r="H40">
            <v>0</v>
          </cell>
          <cell r="I40">
            <v>0</v>
          </cell>
          <cell r="J40">
            <v>0</v>
          </cell>
          <cell r="K40"/>
          <cell r="L40"/>
          <cell r="M40">
            <v>0</v>
          </cell>
        </row>
        <row r="41">
          <cell r="C41" t="str">
            <v>Nguyễn Chế Tín</v>
          </cell>
          <cell r="D41" t="str">
            <v>Showroom Sala</v>
          </cell>
          <cell r="E41" t="str">
            <v>10/03/2026</v>
          </cell>
          <cell r="F41" t="str">
            <v>NVKD</v>
          </cell>
          <cell r="G41">
            <v>3</v>
          </cell>
          <cell r="H41">
            <v>0</v>
          </cell>
          <cell r="I41">
            <v>0</v>
          </cell>
          <cell r="J41">
            <v>0</v>
          </cell>
          <cell r="K41"/>
          <cell r="L41"/>
          <cell r="M41">
            <v>0</v>
          </cell>
        </row>
        <row r="42">
          <cell r="C42" t="str">
            <v>Võ Hoài Nhật</v>
          </cell>
          <cell r="D42" t="str">
            <v>Showroom 50 Nguyễn Văn Tăng</v>
          </cell>
          <cell r="E42" t="str">
            <v>14/07/2025</v>
          </cell>
          <cell r="F42" t="str">
            <v>NVKD</v>
          </cell>
          <cell r="G42">
            <v>4</v>
          </cell>
          <cell r="H42">
            <v>0</v>
          </cell>
          <cell r="I42">
            <v>36000000</v>
          </cell>
          <cell r="J42">
            <v>36000000</v>
          </cell>
          <cell r="K42"/>
          <cell r="L42"/>
          <cell r="M42">
            <v>3</v>
          </cell>
        </row>
        <row r="43">
          <cell r="C43" t="str">
            <v>Bùi Duy Luân</v>
          </cell>
          <cell r="D43" t="str">
            <v>Showroom 50 Nguyễn Văn Tăng</v>
          </cell>
          <cell r="E43" t="str">
            <v>04/08/2025</v>
          </cell>
          <cell r="F43" t="str">
            <v>NVKD</v>
          </cell>
          <cell r="G43">
            <v>4</v>
          </cell>
          <cell r="H43">
            <v>0</v>
          </cell>
          <cell r="I43">
            <v>35000000</v>
          </cell>
          <cell r="J43">
            <v>35000000</v>
          </cell>
          <cell r="K43"/>
          <cell r="L43"/>
          <cell r="M43">
            <v>3</v>
          </cell>
        </row>
        <row r="44">
          <cell r="C44" t="str">
            <v>Phạm Hoàng Long</v>
          </cell>
          <cell r="D44" t="str">
            <v>Showroom 50 Nguyễn Văn Tăng</v>
          </cell>
          <cell r="E44" t="str">
            <v>04/08/2025</v>
          </cell>
          <cell r="F44" t="str">
            <v>NVKD</v>
          </cell>
          <cell r="G44">
            <v>4</v>
          </cell>
          <cell r="H44">
            <v>0</v>
          </cell>
          <cell r="I44">
            <v>121500000</v>
          </cell>
          <cell r="J44">
            <v>121500000</v>
          </cell>
          <cell r="K44"/>
          <cell r="L44"/>
          <cell r="M44">
            <v>8</v>
          </cell>
        </row>
        <row r="45">
          <cell r="C45" t="str">
            <v>Trịnh Thị Thu Huyền</v>
          </cell>
          <cell r="D45" t="str">
            <v>Showroom 50 Nguyễn Văn Tăng</v>
          </cell>
          <cell r="E45" t="str">
            <v>29/09/2025</v>
          </cell>
          <cell r="F45" t="str">
            <v>NVKD</v>
          </cell>
          <cell r="G45">
            <v>4</v>
          </cell>
          <cell r="H45">
            <v>0</v>
          </cell>
          <cell r="I45">
            <v>4250000</v>
          </cell>
          <cell r="J45">
            <v>4250000</v>
          </cell>
          <cell r="K45"/>
          <cell r="L45"/>
          <cell r="M45">
            <v>1</v>
          </cell>
        </row>
        <row r="46">
          <cell r="C46" t="str">
            <v>Nguyễn Thị Phương Anh</v>
          </cell>
          <cell r="D46" t="str">
            <v>Showroom 50 Nguyễn Văn Tăng</v>
          </cell>
          <cell r="E46" t="str">
            <v>21/07/2025</v>
          </cell>
          <cell r="F46" t="str">
            <v>NVKD</v>
          </cell>
          <cell r="G46">
            <v>4</v>
          </cell>
          <cell r="H46">
            <v>0</v>
          </cell>
          <cell r="I46">
            <v>68000000</v>
          </cell>
          <cell r="J46">
            <v>68000000</v>
          </cell>
          <cell r="K46"/>
          <cell r="L46"/>
          <cell r="M46">
            <v>4</v>
          </cell>
        </row>
        <row r="47">
          <cell r="C47" t="str">
            <v>Từ Nữ Bé Mi</v>
          </cell>
          <cell r="D47" t="str">
            <v>Showroom Sala</v>
          </cell>
          <cell r="E47" t="str">
            <v>04/08/2025</v>
          </cell>
          <cell r="F47" t="str">
            <v>NVKD</v>
          </cell>
          <cell r="G47">
            <v>4</v>
          </cell>
          <cell r="H47">
            <v>0</v>
          </cell>
          <cell r="I47">
            <v>180000000</v>
          </cell>
          <cell r="J47">
            <v>180000000</v>
          </cell>
          <cell r="K47"/>
          <cell r="L47"/>
          <cell r="M47">
            <v>4</v>
          </cell>
        </row>
        <row r="48">
          <cell r="C48" t="str">
            <v>Phạm Huy Cường</v>
          </cell>
          <cell r="D48" t="str">
            <v>Showroom 50 Nguyễn Văn Tăng</v>
          </cell>
          <cell r="E48" t="str">
            <v>15/07/2025</v>
          </cell>
          <cell r="F48" t="str">
            <v>NVKD</v>
          </cell>
          <cell r="G48">
            <v>4</v>
          </cell>
          <cell r="H48">
            <v>0</v>
          </cell>
          <cell r="I48">
            <v>8000000</v>
          </cell>
          <cell r="J48">
            <v>8000000</v>
          </cell>
          <cell r="K48"/>
          <cell r="L48"/>
          <cell r="M48">
            <v>1</v>
          </cell>
        </row>
        <row r="49">
          <cell r="C49" t="str">
            <v>Phạm Nguyễn Viết Khánh</v>
          </cell>
          <cell r="D49" t="str">
            <v>Showroom 50 Nguyễn Văn Tăng</v>
          </cell>
          <cell r="E49" t="str">
            <v>07/08/2025</v>
          </cell>
          <cell r="F49" t="str">
            <v>NVKD</v>
          </cell>
          <cell r="G49">
            <v>4</v>
          </cell>
          <cell r="H49">
            <v>0</v>
          </cell>
          <cell r="I49">
            <v>78500000</v>
          </cell>
          <cell r="J49">
            <v>78500000</v>
          </cell>
          <cell r="K49"/>
          <cell r="L49"/>
          <cell r="M49">
            <v>6</v>
          </cell>
        </row>
        <row r="50">
          <cell r="C50" t="str">
            <v>Nguyễn Minh Trí</v>
          </cell>
          <cell r="D50" t="str">
            <v>Showroom 50 Nguyễn Văn Tăng</v>
          </cell>
          <cell r="E50" t="str">
            <v>15/09/2025</v>
          </cell>
          <cell r="F50" t="str">
            <v>NVKD</v>
          </cell>
          <cell r="G50">
            <v>4</v>
          </cell>
          <cell r="H50">
            <v>0</v>
          </cell>
          <cell r="I50">
            <v>78000000</v>
          </cell>
          <cell r="J50">
            <v>78000000</v>
          </cell>
          <cell r="K50"/>
          <cell r="L50"/>
          <cell r="M50">
            <v>4</v>
          </cell>
        </row>
        <row r="51">
          <cell r="C51" t="str">
            <v>Nguyễn Phương Linh</v>
          </cell>
          <cell r="D51" t="str">
            <v>Showroom 50 Nguyễn Văn Tăng</v>
          </cell>
          <cell r="E51" t="str">
            <v>03/07/2025</v>
          </cell>
          <cell r="F51" t="str">
            <v>NVKD</v>
          </cell>
          <cell r="G51">
            <v>4</v>
          </cell>
          <cell r="H51">
            <v>0</v>
          </cell>
          <cell r="I51">
            <v>54000000</v>
          </cell>
          <cell r="J51">
            <v>54000000</v>
          </cell>
          <cell r="K51"/>
          <cell r="L51"/>
          <cell r="M51">
            <v>4</v>
          </cell>
        </row>
        <row r="52">
          <cell r="C52" t="str">
            <v>Vũ Đức Danh</v>
          </cell>
          <cell r="D52" t="str">
            <v>Showroom 50 Nguyễn Văn Tăng</v>
          </cell>
          <cell r="E52" t="str">
            <v>20/10/2025</v>
          </cell>
          <cell r="F52" t="str">
            <v>NVKD</v>
          </cell>
          <cell r="G52">
            <v>4</v>
          </cell>
          <cell r="H52">
            <v>0</v>
          </cell>
          <cell r="I52">
            <v>116000000</v>
          </cell>
          <cell r="J52">
            <v>116000000</v>
          </cell>
          <cell r="K52"/>
          <cell r="L52"/>
          <cell r="M52">
            <v>8</v>
          </cell>
        </row>
        <row r="53">
          <cell r="C53" t="str">
            <v>Nguyễn Trần Quốc Duy</v>
          </cell>
          <cell r="D53" t="str">
            <v>Showroom 50 Nguyễn Văn Tăng</v>
          </cell>
          <cell r="E53" t="str">
            <v>29/09/2025</v>
          </cell>
          <cell r="F53" t="str">
            <v>NVKD</v>
          </cell>
          <cell r="G53">
            <v>4</v>
          </cell>
          <cell r="H53">
            <v>0</v>
          </cell>
          <cell r="I53">
            <v>72000000</v>
          </cell>
          <cell r="J53">
            <v>72000000</v>
          </cell>
          <cell r="K53"/>
          <cell r="L53"/>
          <cell r="M53">
            <v>6</v>
          </cell>
        </row>
        <row r="54">
          <cell r="C54" t="str">
            <v>Cao Văn Công</v>
          </cell>
          <cell r="D54" t="str">
            <v>Showroom 50 Nguyễn Văn Tăng</v>
          </cell>
          <cell r="E54" t="str">
            <v>04/08/2025</v>
          </cell>
          <cell r="F54" t="str">
            <v>NVKD</v>
          </cell>
          <cell r="G54">
            <v>4</v>
          </cell>
          <cell r="H54">
            <v>0</v>
          </cell>
          <cell r="I54">
            <v>56000000</v>
          </cell>
          <cell r="J54">
            <v>56000000</v>
          </cell>
          <cell r="K54"/>
          <cell r="L54"/>
          <cell r="M54">
            <v>3</v>
          </cell>
        </row>
        <row r="55">
          <cell r="C55" t="str">
            <v>Vòng Tạt Lình</v>
          </cell>
          <cell r="D55" t="str">
            <v>Showroom 50 Nguyễn Văn Tăng</v>
          </cell>
          <cell r="E55" t="str">
            <v>28/08/2025</v>
          </cell>
          <cell r="F55" t="str">
            <v>NVKD</v>
          </cell>
          <cell r="G55">
            <v>4</v>
          </cell>
          <cell r="H55">
            <v>0</v>
          </cell>
          <cell r="I55">
            <v>57000000</v>
          </cell>
          <cell r="J55">
            <v>57000000</v>
          </cell>
          <cell r="K55"/>
          <cell r="L55"/>
          <cell r="M55">
            <v>3</v>
          </cell>
        </row>
        <row r="56">
          <cell r="C56" t="str">
            <v>Nguyễn Bá Thản</v>
          </cell>
          <cell r="D56" t="str">
            <v>Showroom 50 Nguyễn Văn Tăng</v>
          </cell>
          <cell r="E56" t="str">
            <v>18/08/2025</v>
          </cell>
          <cell r="F56" t="str">
            <v>NVKD</v>
          </cell>
          <cell r="G56">
            <v>4</v>
          </cell>
          <cell r="H56">
            <v>0</v>
          </cell>
          <cell r="I56">
            <v>18500000</v>
          </cell>
          <cell r="J56">
            <v>18500000</v>
          </cell>
          <cell r="K56"/>
          <cell r="L56"/>
          <cell r="M56">
            <v>2</v>
          </cell>
        </row>
        <row r="57">
          <cell r="C57" t="str">
            <v>Phạm Minh Triết</v>
          </cell>
          <cell r="D57" t="str">
            <v>Showroom 50 Nguyễn Văn Tăng</v>
          </cell>
          <cell r="E57" t="str">
            <v>05/12/2025</v>
          </cell>
          <cell r="F57" t="str">
            <v>NVKD</v>
          </cell>
          <cell r="G57">
            <v>4</v>
          </cell>
          <cell r="H57">
            <v>0</v>
          </cell>
          <cell r="I57">
            <v>0</v>
          </cell>
          <cell r="J57">
            <v>0</v>
          </cell>
          <cell r="K57"/>
          <cell r="L57"/>
          <cell r="M57">
            <v>0</v>
          </cell>
        </row>
        <row r="58">
          <cell r="C58" t="str">
            <v>Vũ Thị Thanh Tuyền</v>
          </cell>
          <cell r="D58" t="str">
            <v>Showroom 50 Nguyễn Văn Tăng</v>
          </cell>
          <cell r="E58" t="str">
            <v>27/10/2025</v>
          </cell>
          <cell r="F58" t="str">
            <v>NVKD</v>
          </cell>
          <cell r="G58">
            <v>4</v>
          </cell>
          <cell r="H58">
            <v>0</v>
          </cell>
          <cell r="I58">
            <v>44500000</v>
          </cell>
          <cell r="J58">
            <v>44500000</v>
          </cell>
          <cell r="K58"/>
          <cell r="L58"/>
          <cell r="M58">
            <v>3</v>
          </cell>
        </row>
        <row r="59">
          <cell r="C59" t="str">
            <v>Phạm Nguyễn Hằng Ni</v>
          </cell>
          <cell r="D59" t="str">
            <v>Showroom 50 Nguyễn Văn Tăng</v>
          </cell>
          <cell r="E59">
            <v>46048</v>
          </cell>
          <cell r="F59" t="str">
            <v>NVKD</v>
          </cell>
          <cell r="G59">
            <v>4</v>
          </cell>
          <cell r="H59">
            <v>0</v>
          </cell>
          <cell r="I59">
            <v>38000000</v>
          </cell>
          <cell r="J59">
            <v>38000000</v>
          </cell>
          <cell r="K59"/>
          <cell r="L59"/>
          <cell r="M59">
            <v>2</v>
          </cell>
        </row>
        <row r="60">
          <cell r="C60" t="str">
            <v>Võ Thành Nhân</v>
          </cell>
          <cell r="D60" t="str">
            <v>Showroom 50 Nguyễn Văn Tăng</v>
          </cell>
          <cell r="E60" t="str">
            <v>02/03/2026</v>
          </cell>
          <cell r="F60" t="str">
            <v>NVKD</v>
          </cell>
          <cell r="G60">
            <v>3</v>
          </cell>
          <cell r="H60">
            <v>0</v>
          </cell>
          <cell r="I60">
            <v>19000000</v>
          </cell>
          <cell r="J60">
            <v>19000000</v>
          </cell>
          <cell r="K60"/>
          <cell r="L60"/>
          <cell r="M60">
            <v>1</v>
          </cell>
        </row>
        <row r="61">
          <cell r="C61" t="str">
            <v>Phan Duy Đức</v>
          </cell>
          <cell r="D61" t="str">
            <v>Showroom 50 Nguyễn Văn Tăng</v>
          </cell>
          <cell r="E61" t="str">
            <v>04/03/2026</v>
          </cell>
          <cell r="F61" t="str">
            <v>NVKD</v>
          </cell>
          <cell r="G61"/>
          <cell r="H61">
            <v>0</v>
          </cell>
          <cell r="I61">
            <v>19000000</v>
          </cell>
          <cell r="J61">
            <v>19000000</v>
          </cell>
          <cell r="K61"/>
          <cell r="L61"/>
          <cell r="M61">
            <v>1</v>
          </cell>
        </row>
        <row r="62">
          <cell r="C62" t="str">
            <v>Đặng Điềm</v>
          </cell>
          <cell r="D62" t="str">
            <v>Showroom 50 Nguyễn Văn Tăng</v>
          </cell>
          <cell r="E62" t="str">
            <v>04/03/2026</v>
          </cell>
          <cell r="F62" t="str">
            <v>NVKD</v>
          </cell>
          <cell r="G62"/>
          <cell r="H62">
            <v>0</v>
          </cell>
          <cell r="I62">
            <v>0</v>
          </cell>
          <cell r="J62">
            <v>0</v>
          </cell>
          <cell r="K62"/>
          <cell r="L62"/>
          <cell r="M62">
            <v>0</v>
          </cell>
        </row>
        <row r="63">
          <cell r="C63" t="str">
            <v>Thạch Thị Ngọc Chuẩn</v>
          </cell>
          <cell r="D63" t="str">
            <v>Showroom 50 Nguyễn Văn Tăng</v>
          </cell>
          <cell r="E63" t="str">
            <v>09/03/2026</v>
          </cell>
          <cell r="F63" t="str">
            <v>NVKD</v>
          </cell>
          <cell r="G63"/>
          <cell r="H63">
            <v>0</v>
          </cell>
          <cell r="I63">
            <v>10000000</v>
          </cell>
          <cell r="J63">
            <v>10000000</v>
          </cell>
          <cell r="K63"/>
          <cell r="L63"/>
          <cell r="M63">
            <v>1</v>
          </cell>
        </row>
        <row r="64">
          <cell r="C64" t="str">
            <v>Nguyễn Thùy Linh</v>
          </cell>
          <cell r="D64" t="str">
            <v>Showroom 50 Nguyễn Văn Tăng</v>
          </cell>
          <cell r="E64" t="str">
            <v>09/03/2026</v>
          </cell>
          <cell r="F64" t="str">
            <v>NVKD</v>
          </cell>
          <cell r="G64">
            <v>3</v>
          </cell>
          <cell r="H64">
            <v>0</v>
          </cell>
          <cell r="I64">
            <v>0</v>
          </cell>
          <cell r="J64">
            <v>0</v>
          </cell>
          <cell r="K64"/>
          <cell r="L64"/>
          <cell r="M64">
            <v>0</v>
          </cell>
        </row>
        <row r="65">
          <cell r="C65" t="str">
            <v>Nguyễn Minh Thành</v>
          </cell>
          <cell r="D65" t="str">
            <v>Showroom 50 Nguyễn Văn Tăng</v>
          </cell>
          <cell r="E65" t="str">
            <v>16/03/2026</v>
          </cell>
          <cell r="F65" t="str">
            <v>NVKD</v>
          </cell>
          <cell r="G65"/>
          <cell r="H65">
            <v>0</v>
          </cell>
          <cell r="I65">
            <v>0</v>
          </cell>
          <cell r="J65">
            <v>0</v>
          </cell>
          <cell r="K65"/>
          <cell r="L65"/>
          <cell r="M65">
            <v>0</v>
          </cell>
        </row>
        <row r="66">
          <cell r="C66" t="str">
            <v>Đặng Quang Thắng</v>
          </cell>
          <cell r="D66" t="str">
            <v>Showroom 50 Nguyễn Văn Tăng</v>
          </cell>
          <cell r="E66">
            <v>46098</v>
          </cell>
          <cell r="F66" t="str">
            <v>NVKD</v>
          </cell>
          <cell r="G66"/>
          <cell r="H66">
            <v>0</v>
          </cell>
          <cell r="I66">
            <v>40000000</v>
          </cell>
          <cell r="J66">
            <v>40000000</v>
          </cell>
          <cell r="K66"/>
          <cell r="L66"/>
          <cell r="M66">
            <v>1</v>
          </cell>
        </row>
        <row r="67">
          <cell r="C67" t="str">
            <v>Đỗ Thị Doanh</v>
          </cell>
          <cell r="D67" t="str">
            <v>Showroom 50 Nguyễn Văn Tăng</v>
          </cell>
          <cell r="E67">
            <v>46099</v>
          </cell>
          <cell r="F67" t="str">
            <v>NVKD</v>
          </cell>
          <cell r="G67"/>
          <cell r="H67">
            <v>0</v>
          </cell>
          <cell r="I67">
            <v>0</v>
          </cell>
          <cell r="J67">
            <v>0</v>
          </cell>
          <cell r="K67"/>
          <cell r="L67"/>
          <cell r="M67">
            <v>0</v>
          </cell>
        </row>
        <row r="68">
          <cell r="C68" t="str">
            <v>Nguyễn Văn Bình</v>
          </cell>
          <cell r="D68" t="str">
            <v>Showroom 50 Nguyễn Văn Tăng</v>
          </cell>
          <cell r="E68">
            <v>46099</v>
          </cell>
          <cell r="F68" t="str">
            <v>NVKD</v>
          </cell>
          <cell r="G68"/>
          <cell r="H68">
            <v>0</v>
          </cell>
          <cell r="I68">
            <v>8500000</v>
          </cell>
          <cell r="J68">
            <v>8500000</v>
          </cell>
          <cell r="K68"/>
          <cell r="L68"/>
          <cell r="M68">
            <v>1</v>
          </cell>
        </row>
        <row r="69">
          <cell r="C69" t="str">
            <v>La Trọng Hiếu</v>
          </cell>
          <cell r="D69" t="str">
            <v>Showroom 50 Nguyễn Văn Tăng</v>
          </cell>
          <cell r="E69"/>
          <cell r="F69" t="str">
            <v>NVKD</v>
          </cell>
          <cell r="G69"/>
          <cell r="H69">
            <v>0</v>
          </cell>
          <cell r="I69">
            <v>16000000</v>
          </cell>
          <cell r="J69">
            <v>16000000</v>
          </cell>
          <cell r="K69"/>
          <cell r="L69"/>
          <cell r="M69">
            <v>1</v>
          </cell>
        </row>
        <row r="70">
          <cell r="C70" t="str">
            <v>Ung Khắc Cảnh</v>
          </cell>
          <cell r="D70" t="str">
            <v>Showroom 50 Nguyễn Văn Tăng</v>
          </cell>
          <cell r="E70"/>
          <cell r="F70" t="str">
            <v>NVKD</v>
          </cell>
          <cell r="G70"/>
          <cell r="H70">
            <v>0</v>
          </cell>
          <cell r="I70">
            <v>8500000</v>
          </cell>
          <cell r="J70">
            <v>8500000</v>
          </cell>
          <cell r="K70"/>
          <cell r="L70"/>
          <cell r="M70">
            <v>1</v>
          </cell>
        </row>
        <row r="71">
          <cell r="C71" t="str">
            <v>Bùi Minh Trung</v>
          </cell>
          <cell r="D71" t="str">
            <v>Showroom Bến Lức</v>
          </cell>
          <cell r="E71" t="str">
            <v>26/12/2024</v>
          </cell>
          <cell r="F71" t="str">
            <v>NVKD</v>
          </cell>
          <cell r="G71">
            <v>4</v>
          </cell>
          <cell r="H71">
            <v>0</v>
          </cell>
          <cell r="I71">
            <v>180000000</v>
          </cell>
          <cell r="J71">
            <v>180000000</v>
          </cell>
          <cell r="K71">
            <v>1000000</v>
          </cell>
          <cell r="L71"/>
          <cell r="M71">
            <v>10</v>
          </cell>
        </row>
        <row r="72">
          <cell r="C72" t="str">
            <v>Trương Hoàng Khả</v>
          </cell>
          <cell r="D72" t="str">
            <v>Showroom Bến Lức</v>
          </cell>
          <cell r="E72" t="str">
            <v>26/12/2024</v>
          </cell>
          <cell r="F72" t="str">
            <v>NVKD</v>
          </cell>
          <cell r="G72">
            <v>4</v>
          </cell>
          <cell r="H72">
            <v>0</v>
          </cell>
          <cell r="I72">
            <v>95000000</v>
          </cell>
          <cell r="J72">
            <v>95000000</v>
          </cell>
          <cell r="K72"/>
          <cell r="L72"/>
          <cell r="M72">
            <v>6</v>
          </cell>
        </row>
        <row r="73">
          <cell r="C73" t="str">
            <v>Hoàng Ngọc Tú</v>
          </cell>
          <cell r="D73" t="str">
            <v>Showroom Bến Lức</v>
          </cell>
          <cell r="E73" t="str">
            <v>01/04/2025</v>
          </cell>
          <cell r="F73" t="str">
            <v>NVKD</v>
          </cell>
          <cell r="G73">
            <v>4</v>
          </cell>
          <cell r="H73">
            <v>0</v>
          </cell>
          <cell r="I73">
            <v>62000000</v>
          </cell>
          <cell r="J73">
            <v>62000000</v>
          </cell>
          <cell r="K73"/>
          <cell r="L73"/>
          <cell r="M73">
            <v>5</v>
          </cell>
        </row>
        <row r="74">
          <cell r="C74" t="str">
            <v>Lê Thị Kiều My</v>
          </cell>
          <cell r="D74" t="str">
            <v>Showroom Bến Lức</v>
          </cell>
          <cell r="E74" t="str">
            <v>11/08/2025</v>
          </cell>
          <cell r="F74" t="str">
            <v>NVKD</v>
          </cell>
          <cell r="G74">
            <v>4</v>
          </cell>
          <cell r="H74">
            <v>0</v>
          </cell>
          <cell r="I74">
            <v>47500000</v>
          </cell>
          <cell r="J74">
            <v>47500000</v>
          </cell>
          <cell r="K74"/>
          <cell r="L74"/>
          <cell r="M74">
            <v>3</v>
          </cell>
        </row>
        <row r="75">
          <cell r="C75" t="str">
            <v>Bùi Văn Quốc Trí</v>
          </cell>
          <cell r="D75" t="str">
            <v>Showroom Bến Lức</v>
          </cell>
          <cell r="E75" t="str">
            <v>03/02/2025</v>
          </cell>
          <cell r="F75" t="str">
            <v>NVKD</v>
          </cell>
          <cell r="G75">
            <v>4</v>
          </cell>
          <cell r="H75">
            <v>0</v>
          </cell>
          <cell r="I75">
            <v>56000000</v>
          </cell>
          <cell r="J75">
            <v>56000000</v>
          </cell>
          <cell r="K75"/>
          <cell r="L75"/>
          <cell r="M75">
            <v>3</v>
          </cell>
        </row>
        <row r="76">
          <cell r="C76" t="str">
            <v>Trần Thanh Hoài</v>
          </cell>
          <cell r="D76" t="str">
            <v>Showroom Bến Lức</v>
          </cell>
          <cell r="E76" t="str">
            <v>10/02/2025</v>
          </cell>
          <cell r="F76" t="str">
            <v>NVKD</v>
          </cell>
          <cell r="G76">
            <v>4</v>
          </cell>
          <cell r="H76">
            <v>0</v>
          </cell>
          <cell r="I76">
            <v>43500000</v>
          </cell>
          <cell r="J76">
            <v>43500000</v>
          </cell>
          <cell r="K76"/>
          <cell r="L76"/>
          <cell r="M76">
            <v>3</v>
          </cell>
        </row>
        <row r="77">
          <cell r="C77" t="str">
            <v>Nguyễn Hữu Thanh Tú</v>
          </cell>
          <cell r="D77" t="str">
            <v>Showroom Bến Lức</v>
          </cell>
          <cell r="E77" t="str">
            <v>14/04/2025</v>
          </cell>
          <cell r="F77" t="str">
            <v>NVKD</v>
          </cell>
          <cell r="G77">
            <v>4</v>
          </cell>
          <cell r="H77">
            <v>0</v>
          </cell>
          <cell r="I77">
            <v>46000000</v>
          </cell>
          <cell r="J77">
            <v>46000000</v>
          </cell>
          <cell r="K77"/>
          <cell r="L77"/>
          <cell r="M77">
            <v>3</v>
          </cell>
        </row>
        <row r="78">
          <cell r="C78" t="str">
            <v>Trần Anh Vũ</v>
          </cell>
          <cell r="D78" t="str">
            <v>Showroom Bến Lức</v>
          </cell>
          <cell r="E78" t="str">
            <v>03/10/2025</v>
          </cell>
          <cell r="F78" t="str">
            <v>NVKD</v>
          </cell>
          <cell r="G78">
            <v>4</v>
          </cell>
          <cell r="H78">
            <v>0</v>
          </cell>
          <cell r="I78">
            <v>24000000</v>
          </cell>
          <cell r="J78">
            <v>24000000</v>
          </cell>
          <cell r="K78"/>
          <cell r="L78"/>
          <cell r="M78">
            <v>3</v>
          </cell>
        </row>
        <row r="79">
          <cell r="C79" t="str">
            <v>Nguyễn Phước Huy</v>
          </cell>
          <cell r="D79" t="str">
            <v>Showroom Bến Lức</v>
          </cell>
          <cell r="E79" t="str">
            <v>03/11/2025</v>
          </cell>
          <cell r="F79" t="str">
            <v>NVKD</v>
          </cell>
          <cell r="G79">
            <v>4</v>
          </cell>
          <cell r="H79">
            <v>0</v>
          </cell>
          <cell r="I79">
            <v>8000000</v>
          </cell>
          <cell r="J79">
            <v>8000000</v>
          </cell>
          <cell r="K79"/>
          <cell r="L79"/>
          <cell r="M79">
            <v>1</v>
          </cell>
        </row>
        <row r="80">
          <cell r="C80" t="str">
            <v>Nguyễn Thị Bảo Trân</v>
          </cell>
          <cell r="D80" t="str">
            <v>Showroom Bến Lức</v>
          </cell>
          <cell r="E80" t="str">
            <v>10/03/2026</v>
          </cell>
          <cell r="F80" t="str">
            <v>NVKD</v>
          </cell>
          <cell r="G80">
            <v>3</v>
          </cell>
          <cell r="H80">
            <v>0</v>
          </cell>
          <cell r="I80">
            <v>16000000</v>
          </cell>
          <cell r="J80">
            <v>16000000</v>
          </cell>
          <cell r="K80"/>
          <cell r="L80"/>
          <cell r="M80">
            <v>2</v>
          </cell>
        </row>
        <row r="81">
          <cell r="C81" t="str">
            <v>Ngô Đăng Khoa</v>
          </cell>
          <cell r="D81" t="str">
            <v>Showroom Bến Lức</v>
          </cell>
          <cell r="E81" t="str">
            <v>10/03/2026</v>
          </cell>
          <cell r="F81" t="str">
            <v>NVKD</v>
          </cell>
          <cell r="G81">
            <v>3</v>
          </cell>
          <cell r="H81">
            <v>0</v>
          </cell>
          <cell r="I81">
            <v>8500000</v>
          </cell>
          <cell r="J81">
            <v>8500000</v>
          </cell>
          <cell r="K81"/>
          <cell r="L81"/>
          <cell r="M81">
            <v>1</v>
          </cell>
        </row>
        <row r="82">
          <cell r="C82" t="str">
            <v>Võ Thị Phương Linh</v>
          </cell>
          <cell r="D82" t="str">
            <v>Showroom Bến Lức</v>
          </cell>
          <cell r="E82" t="str">
            <v>13/03/2026</v>
          </cell>
          <cell r="F82" t="str">
            <v>NVKD</v>
          </cell>
          <cell r="G82">
            <v>3</v>
          </cell>
          <cell r="H82">
            <v>0</v>
          </cell>
          <cell r="I82">
            <v>39000000</v>
          </cell>
          <cell r="J82">
            <v>39000000</v>
          </cell>
          <cell r="K82"/>
          <cell r="L82"/>
          <cell r="M82">
            <v>2</v>
          </cell>
        </row>
        <row r="83">
          <cell r="C83" t="str">
            <v>Trương Trọng Nghĩa</v>
          </cell>
          <cell r="D83" t="str">
            <v>Showroom Bến Lức</v>
          </cell>
          <cell r="E83" t="str">
            <v>16/03/2026</v>
          </cell>
          <cell r="F83" t="str">
            <v>NVKD</v>
          </cell>
          <cell r="G83"/>
          <cell r="H83">
            <v>0</v>
          </cell>
          <cell r="I83">
            <v>0</v>
          </cell>
          <cell r="J83">
            <v>0</v>
          </cell>
          <cell r="K83"/>
          <cell r="L83"/>
          <cell r="M83">
            <v>0</v>
          </cell>
        </row>
        <row r="84">
          <cell r="C84" t="str">
            <v>Huỳnh Thị Mộng Hằng</v>
          </cell>
          <cell r="D84" t="str">
            <v>Showroom Bến Lức</v>
          </cell>
          <cell r="E84" t="str">
            <v>16/03/2026</v>
          </cell>
          <cell r="F84" t="str">
            <v>NVKD</v>
          </cell>
          <cell r="G84"/>
          <cell r="H84">
            <v>0</v>
          </cell>
          <cell r="I84">
            <v>0</v>
          </cell>
          <cell r="J84">
            <v>0</v>
          </cell>
          <cell r="K84"/>
          <cell r="L84"/>
          <cell r="M84">
            <v>0</v>
          </cell>
        </row>
        <row r="85">
          <cell r="C85" t="str">
            <v>Nguyễn Thị Thanh Trúc</v>
          </cell>
          <cell r="D85" t="str">
            <v>Showroom Bến Lức</v>
          </cell>
          <cell r="E85" t="str">
            <v>16/03/2026</v>
          </cell>
          <cell r="F85" t="str">
            <v>NVKD</v>
          </cell>
          <cell r="G85">
            <v>3</v>
          </cell>
          <cell r="H85">
            <v>0</v>
          </cell>
          <cell r="I85">
            <v>0</v>
          </cell>
          <cell r="J85">
            <v>0</v>
          </cell>
          <cell r="K85"/>
          <cell r="L85"/>
          <cell r="M85">
            <v>0</v>
          </cell>
        </row>
        <row r="86">
          <cell r="C86" t="str">
            <v>Lê Minh Đức</v>
          </cell>
          <cell r="D86" t="str">
            <v>Showroom Tân An</v>
          </cell>
          <cell r="E86" t="str">
            <v>02/06/2025</v>
          </cell>
          <cell r="F86" t="str">
            <v>NVKD</v>
          </cell>
          <cell r="G86">
            <v>4</v>
          </cell>
          <cell r="H86">
            <v>0</v>
          </cell>
          <cell r="I86">
            <v>24000000</v>
          </cell>
          <cell r="J86">
            <v>24000000</v>
          </cell>
          <cell r="K86"/>
          <cell r="L86"/>
          <cell r="M86">
            <v>2</v>
          </cell>
        </row>
        <row r="87">
          <cell r="C87" t="str">
            <v>Trịnh Trung Tín</v>
          </cell>
          <cell r="D87" t="str">
            <v>Showroom Tân An</v>
          </cell>
          <cell r="E87" t="str">
            <v>06/10/2025</v>
          </cell>
          <cell r="F87" t="str">
            <v>NVKD</v>
          </cell>
          <cell r="G87">
            <v>4</v>
          </cell>
          <cell r="H87">
            <v>0</v>
          </cell>
          <cell r="I87">
            <v>37250000</v>
          </cell>
          <cell r="J87">
            <v>37250000</v>
          </cell>
          <cell r="K87"/>
          <cell r="L87"/>
          <cell r="M87">
            <v>4</v>
          </cell>
        </row>
        <row r="88">
          <cell r="C88" t="str">
            <v>Lê Ngọc Đức</v>
          </cell>
          <cell r="D88" t="str">
            <v>Showroom Tân An</v>
          </cell>
          <cell r="E88" t="str">
            <v>20/08/2024</v>
          </cell>
          <cell r="F88" t="str">
            <v>NVKD</v>
          </cell>
          <cell r="G88">
            <v>4</v>
          </cell>
          <cell r="H88">
            <v>0</v>
          </cell>
          <cell r="I88">
            <v>51000000</v>
          </cell>
          <cell r="J88">
            <v>51000000</v>
          </cell>
          <cell r="K88"/>
          <cell r="L88"/>
          <cell r="M88">
            <v>4</v>
          </cell>
        </row>
        <row r="89">
          <cell r="C89" t="str">
            <v>Lê Ngọc Toàn</v>
          </cell>
          <cell r="D89" t="str">
            <v>Showroom Tân An</v>
          </cell>
          <cell r="E89" t="str">
            <v>06/11/2024</v>
          </cell>
          <cell r="F89" t="str">
            <v>NVKD</v>
          </cell>
          <cell r="G89">
            <v>4</v>
          </cell>
          <cell r="H89">
            <v>0</v>
          </cell>
          <cell r="I89">
            <v>44000000</v>
          </cell>
          <cell r="J89">
            <v>44000000</v>
          </cell>
          <cell r="K89"/>
          <cell r="L89"/>
          <cell r="M89">
            <v>3</v>
          </cell>
        </row>
        <row r="90">
          <cell r="C90" t="str">
            <v>Trần Anh Hoàng</v>
          </cell>
          <cell r="D90" t="str">
            <v>Showroom Tân An</v>
          </cell>
          <cell r="E90" t="str">
            <v>20/08/2024</v>
          </cell>
          <cell r="F90" t="str">
            <v>NVKD</v>
          </cell>
          <cell r="G90">
            <v>4</v>
          </cell>
          <cell r="H90">
            <v>0</v>
          </cell>
          <cell r="I90">
            <v>49000000</v>
          </cell>
          <cell r="J90">
            <v>49000000</v>
          </cell>
          <cell r="K90"/>
          <cell r="L90"/>
          <cell r="M90">
            <v>3</v>
          </cell>
        </row>
        <row r="91">
          <cell r="C91" t="str">
            <v>Nguyễn Thị Thúy Giang</v>
          </cell>
          <cell r="D91" t="str">
            <v>Showroom Tân An</v>
          </cell>
          <cell r="E91" t="str">
            <v>15/10/2024</v>
          </cell>
          <cell r="F91" t="str">
            <v>NVKD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/>
          <cell r="L91"/>
          <cell r="M91">
            <v>0</v>
          </cell>
        </row>
        <row r="92">
          <cell r="C92" t="str">
            <v>Nguyễn Hoàng Trọng Khang</v>
          </cell>
          <cell r="D92" t="str">
            <v>Showroom Tân An</v>
          </cell>
          <cell r="E92" t="str">
            <v>05/03/2025</v>
          </cell>
          <cell r="F92" t="str">
            <v>NVKD</v>
          </cell>
          <cell r="G92">
            <v>4</v>
          </cell>
          <cell r="H92">
            <v>0</v>
          </cell>
          <cell r="I92">
            <v>16500000</v>
          </cell>
          <cell r="J92">
            <v>16500000</v>
          </cell>
          <cell r="K92"/>
          <cell r="L92"/>
          <cell r="M92">
            <v>2</v>
          </cell>
        </row>
        <row r="93">
          <cell r="C93" t="str">
            <v>Trần Minh Hiếu</v>
          </cell>
          <cell r="D93" t="str">
            <v>Showroom Tân An</v>
          </cell>
          <cell r="E93" t="str">
            <v>11/11/2024</v>
          </cell>
          <cell r="F93" t="str">
            <v>NVKD</v>
          </cell>
          <cell r="G93">
            <v>4</v>
          </cell>
          <cell r="H93">
            <v>0</v>
          </cell>
          <cell r="I93">
            <v>55500000</v>
          </cell>
          <cell r="J93">
            <v>55500000</v>
          </cell>
          <cell r="K93"/>
          <cell r="L93"/>
          <cell r="M93">
            <v>4</v>
          </cell>
        </row>
        <row r="94">
          <cell r="C94" t="str">
            <v>Nguyễn Hoàng Kha</v>
          </cell>
          <cell r="D94" t="str">
            <v>Showroom Tân An</v>
          </cell>
          <cell r="E94" t="str">
            <v>05/12/2025</v>
          </cell>
          <cell r="F94" t="str">
            <v>NVKD</v>
          </cell>
          <cell r="G94">
            <v>4</v>
          </cell>
          <cell r="H94">
            <v>0</v>
          </cell>
          <cell r="I94">
            <v>0</v>
          </cell>
          <cell r="J94">
            <v>0</v>
          </cell>
          <cell r="K94"/>
          <cell r="L94"/>
          <cell r="M94">
            <v>0</v>
          </cell>
        </row>
        <row r="95">
          <cell r="C95" t="str">
            <v>Trần Gia Linh</v>
          </cell>
          <cell r="D95" t="str">
            <v>Showroom Tân An</v>
          </cell>
          <cell r="E95" t="str">
            <v>20/08/2024</v>
          </cell>
          <cell r="F95" t="str">
            <v>TNBH</v>
          </cell>
          <cell r="G95"/>
          <cell r="H95">
            <v>0</v>
          </cell>
          <cell r="I95">
            <v>0</v>
          </cell>
          <cell r="J95">
            <v>0</v>
          </cell>
          <cell r="K95"/>
          <cell r="L95"/>
          <cell r="M95">
            <v>0</v>
          </cell>
        </row>
        <row r="96">
          <cell r="C96" t="str">
            <v>Phạm Anh Kiệt</v>
          </cell>
          <cell r="D96" t="str">
            <v>Showroom Tân An</v>
          </cell>
          <cell r="E96" t="str">
            <v>04/02/2026</v>
          </cell>
          <cell r="F96" t="str">
            <v>NVKD</v>
          </cell>
          <cell r="G96">
            <v>3</v>
          </cell>
          <cell r="H96">
            <v>0</v>
          </cell>
          <cell r="I96">
            <v>8000000</v>
          </cell>
          <cell r="J96">
            <v>8000000</v>
          </cell>
          <cell r="K96"/>
          <cell r="L96"/>
          <cell r="M96">
            <v>1</v>
          </cell>
        </row>
        <row r="97">
          <cell r="C97" t="str">
            <v>Phạm Văn Canh</v>
          </cell>
          <cell r="D97" t="str">
            <v>Showroom Tân An</v>
          </cell>
          <cell r="E97" t="str">
            <v>20/09/2024</v>
          </cell>
          <cell r="F97" t="str">
            <v>TNBH</v>
          </cell>
          <cell r="G97"/>
          <cell r="H97">
            <v>0</v>
          </cell>
          <cell r="I97">
            <v>0</v>
          </cell>
          <cell r="J97">
            <v>0</v>
          </cell>
          <cell r="K97"/>
          <cell r="L97"/>
          <cell r="M97">
            <v>0</v>
          </cell>
        </row>
        <row r="98">
          <cell r="C98" t="str">
            <v>Võ Quốc Thắng</v>
          </cell>
          <cell r="D98" t="str">
            <v>Showroom Tân An</v>
          </cell>
          <cell r="E98" t="str">
            <v>02/03/2026</v>
          </cell>
          <cell r="F98" t="str">
            <v>NVKD</v>
          </cell>
          <cell r="G98">
            <v>3</v>
          </cell>
          <cell r="H98">
            <v>0</v>
          </cell>
          <cell r="I98">
            <v>0</v>
          </cell>
          <cell r="J98">
            <v>0</v>
          </cell>
          <cell r="K98"/>
          <cell r="L98"/>
          <cell r="M98">
            <v>0</v>
          </cell>
        </row>
        <row r="99">
          <cell r="C99" t="str">
            <v>Mai Quốc Khải</v>
          </cell>
          <cell r="D99" t="str">
            <v>Showroom Tân An</v>
          </cell>
          <cell r="E99" t="str">
            <v>09/03/2026</v>
          </cell>
          <cell r="F99" t="str">
            <v>NVKD</v>
          </cell>
          <cell r="G99">
            <v>3</v>
          </cell>
          <cell r="H99">
            <v>0</v>
          </cell>
          <cell r="I99">
            <v>0</v>
          </cell>
          <cell r="J99">
            <v>0</v>
          </cell>
          <cell r="K99"/>
          <cell r="L99"/>
          <cell r="M99">
            <v>0</v>
          </cell>
        </row>
        <row r="100">
          <cell r="C100" t="str">
            <v>Nguyễn Hữu Tính</v>
          </cell>
          <cell r="D100" t="str">
            <v>Showroom Tân An</v>
          </cell>
          <cell r="E100" t="str">
            <v>16/03/2026</v>
          </cell>
          <cell r="F100" t="str">
            <v>NVKD</v>
          </cell>
          <cell r="G100">
            <v>3</v>
          </cell>
          <cell r="H100">
            <v>0</v>
          </cell>
          <cell r="I100">
            <v>0</v>
          </cell>
          <cell r="J100">
            <v>0</v>
          </cell>
          <cell r="K100"/>
          <cell r="L100"/>
          <cell r="M100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GROUP BY SHOWROOM"/>
      <sheetName val="CSBH THƯỞNG XE"/>
      <sheetName val="NVKD"/>
      <sheetName val="Trưởng nhóm"/>
      <sheetName val="GDSR"/>
      <sheetName val="GDKD"/>
      <sheetName val="Admin&amp;Kho"/>
      <sheetName val="HH Bảo hiểm FN"/>
      <sheetName val="Công nợ - tạm ứng"/>
      <sheetName val="Trả HH Treo NVKD T10"/>
      <sheetName val="Trả HH Treo GĐSR T10"/>
      <sheetName val="Trả HH Treo GĐKD T10"/>
      <sheetName val="Trả HH Treo NVKD T11"/>
      <sheetName val="Trả HH Treo TNBH T11"/>
      <sheetName val="Trả HH Treo GĐSR T11"/>
      <sheetName val="Trả HH Treo GĐKD T11"/>
      <sheetName val="HOA HỒNG T12"/>
    </sheetNames>
    <sheetDataSet>
      <sheetData sheetId="0">
        <row r="6">
          <cell r="M6">
            <v>200</v>
          </cell>
        </row>
        <row r="7">
          <cell r="M7" t="str">
            <v>Loại xe</v>
          </cell>
          <cell r="N7" t="str">
            <v>MÀU</v>
          </cell>
          <cell r="O7" t="str">
            <v>PHIÊN BẢN</v>
          </cell>
        </row>
        <row r="8">
          <cell r="M8" t="str">
            <v>VF8 Plus</v>
          </cell>
          <cell r="N8" t="str">
            <v>ĐEN_VÀNG</v>
          </cell>
          <cell r="O8" t="str">
            <v>PLUS US</v>
          </cell>
        </row>
        <row r="9">
          <cell r="M9" t="str">
            <v>VF3 Plus</v>
          </cell>
          <cell r="N9" t="str">
            <v>Trắng</v>
          </cell>
          <cell r="O9" t="str">
            <v>Plus</v>
          </cell>
        </row>
        <row r="10">
          <cell r="M10" t="str">
            <v>VF6 Plus</v>
          </cell>
          <cell r="N10" t="str">
            <v>XÁM</v>
          </cell>
          <cell r="O10" t="str">
            <v>PLUS</v>
          </cell>
        </row>
        <row r="11">
          <cell r="M11" t="str">
            <v>Minio Green</v>
          </cell>
          <cell r="N11" t="str">
            <v>ĐỎ</v>
          </cell>
          <cell r="O11">
            <v>0</v>
          </cell>
        </row>
        <row r="12">
          <cell r="M12" t="str">
            <v>VF9 Eco</v>
          </cell>
          <cell r="N12" t="str">
            <v>TRĂNG</v>
          </cell>
          <cell r="O12" t="str">
            <v>ECO</v>
          </cell>
        </row>
        <row r="13">
          <cell r="M13" t="str">
            <v>VF3 Eco</v>
          </cell>
          <cell r="N13" t="str">
            <v>XANH LÁ NHẠT</v>
          </cell>
          <cell r="O13" t="str">
            <v>ECO</v>
          </cell>
        </row>
        <row r="14">
          <cell r="M14" t="str">
            <v>VF6 Plus</v>
          </cell>
          <cell r="N14" t="str">
            <v>Màu đỏ Ruby</v>
          </cell>
          <cell r="O14" t="str">
            <v>Plus_TC2</v>
          </cell>
        </row>
        <row r="15">
          <cell r="M15" t="str">
            <v>Limo Green</v>
          </cell>
          <cell r="N15" t="str">
            <v>Đen</v>
          </cell>
          <cell r="O15" t="str">
            <v>Limo Green</v>
          </cell>
        </row>
        <row r="16">
          <cell r="M16" t="str">
            <v>VF5</v>
          </cell>
          <cell r="N16" t="str">
            <v>XANH LÁ NHẠT</v>
          </cell>
          <cell r="O16" t="str">
            <v>PLUS</v>
          </cell>
        </row>
        <row r="17">
          <cell r="M17" t="str">
            <v>VF6 Plus</v>
          </cell>
          <cell r="N17" t="str">
            <v>TRẮNG</v>
          </cell>
          <cell r="O17" t="str">
            <v>PLUS TC2</v>
          </cell>
        </row>
        <row r="18">
          <cell r="M18" t="str">
            <v>VF3 Eco</v>
          </cell>
          <cell r="N18" t="str">
            <v>Xanh/Trắng</v>
          </cell>
          <cell r="O18" t="str">
            <v>Eco_TC2</v>
          </cell>
        </row>
        <row r="19">
          <cell r="M19" t="str">
            <v>VF3 Plus</v>
          </cell>
          <cell r="N19" t="str">
            <v>Trắng</v>
          </cell>
          <cell r="O19" t="str">
            <v>Plus</v>
          </cell>
        </row>
        <row r="20">
          <cell r="M20" t="str">
            <v>VF6 Plus</v>
          </cell>
          <cell r="N20" t="str">
            <v>TRẮNG</v>
          </cell>
          <cell r="O20" t="str">
            <v>PLUS TC2</v>
          </cell>
        </row>
        <row r="21">
          <cell r="M21" t="str">
            <v>Limo Green</v>
          </cell>
          <cell r="N21" t="str">
            <v>ĐỎ</v>
          </cell>
          <cell r="O21" t="str">
            <v>GREEN</v>
          </cell>
        </row>
        <row r="22">
          <cell r="M22" t="str">
            <v>VF7 Eco</v>
          </cell>
          <cell r="N22" t="str">
            <v>Xanh Lá Nhạt</v>
          </cell>
          <cell r="O22" t="str">
            <v>Eco_TC2</v>
          </cell>
        </row>
        <row r="23">
          <cell r="M23" t="str">
            <v>VF3 Eco</v>
          </cell>
          <cell r="N23" t="str">
            <v>TRẮNG</v>
          </cell>
          <cell r="O23" t="str">
            <v>ECO</v>
          </cell>
        </row>
        <row r="24">
          <cell r="M24" t="str">
            <v>VF5</v>
          </cell>
          <cell r="N24" t="str">
            <v xml:space="preserve">ĐỎ </v>
          </cell>
          <cell r="O24" t="str">
            <v>PLUS</v>
          </cell>
        </row>
        <row r="25">
          <cell r="M25" t="str">
            <v>Limo Green</v>
          </cell>
          <cell r="N25" t="str">
            <v>ĐEN</v>
          </cell>
          <cell r="O25" t="str">
            <v>LIMO GREEN</v>
          </cell>
        </row>
        <row r="26">
          <cell r="M26" t="str">
            <v>EC Van</v>
          </cell>
          <cell r="N26" t="str">
            <v>XANH LÁ NHẠT</v>
          </cell>
          <cell r="O26" t="str">
            <v>NÂNG CAO</v>
          </cell>
        </row>
        <row r="27">
          <cell r="M27" t="str">
            <v>VF5</v>
          </cell>
          <cell r="N27" t="str">
            <v>Xám</v>
          </cell>
          <cell r="O27" t="str">
            <v>Plus</v>
          </cell>
        </row>
        <row r="28">
          <cell r="M28" t="str">
            <v>Limo Green</v>
          </cell>
          <cell r="N28" t="str">
            <v>BẠC</v>
          </cell>
          <cell r="O28" t="str">
            <v>Limo Green</v>
          </cell>
        </row>
        <row r="29">
          <cell r="M29" t="str">
            <v>VF5</v>
          </cell>
          <cell r="N29" t="str">
            <v>TRẮNG</v>
          </cell>
          <cell r="O29" t="str">
            <v>PLUS</v>
          </cell>
        </row>
        <row r="30">
          <cell r="M30" t="str">
            <v>Limo MPV 7</v>
          </cell>
          <cell r="N30" t="str">
            <v>ĐEN</v>
          </cell>
          <cell r="O30" t="str">
            <v>MPV 7</v>
          </cell>
        </row>
        <row r="31">
          <cell r="M31" t="str">
            <v>EC Van</v>
          </cell>
          <cell r="N31" t="str">
            <v>Xanh Lá Nhạt</v>
          </cell>
          <cell r="O31" t="str">
            <v>Nâng Cao</v>
          </cell>
        </row>
        <row r="32">
          <cell r="M32" t="str">
            <v>Limo Green</v>
          </cell>
          <cell r="N32" t="str">
            <v>Đỏ</v>
          </cell>
          <cell r="O32" t="str">
            <v>Limo Green</v>
          </cell>
        </row>
        <row r="33">
          <cell r="M33" t="str">
            <v>Limo Green</v>
          </cell>
          <cell r="N33" t="str">
            <v>TRẮNG</v>
          </cell>
          <cell r="O33" t="str">
            <v>Limo Green</v>
          </cell>
        </row>
        <row r="34">
          <cell r="M34" t="str">
            <v>VF5</v>
          </cell>
          <cell r="N34" t="str">
            <v>Trắng</v>
          </cell>
          <cell r="O34" t="str">
            <v>Plus</v>
          </cell>
        </row>
        <row r="35">
          <cell r="M35" t="str">
            <v>VF6 Plus</v>
          </cell>
          <cell r="N35" t="str">
            <v>TRẮNG</v>
          </cell>
          <cell r="O35" t="str">
            <v>PLUS</v>
          </cell>
        </row>
        <row r="36">
          <cell r="M36" t="str">
            <v>VF3 Plus</v>
          </cell>
          <cell r="N36" t="str">
            <v>TRẮNG</v>
          </cell>
          <cell r="O36" t="str">
            <v>PLUS</v>
          </cell>
        </row>
        <row r="37">
          <cell r="M37" t="str">
            <v>Limo Green</v>
          </cell>
          <cell r="N37" t="str">
            <v>BẠC</v>
          </cell>
          <cell r="O37" t="str">
            <v>Limo Green</v>
          </cell>
        </row>
        <row r="38">
          <cell r="M38" t="str">
            <v>VF3 Eco</v>
          </cell>
          <cell r="N38" t="str">
            <v>Trắng</v>
          </cell>
          <cell r="O38" t="str">
            <v>Eco</v>
          </cell>
        </row>
        <row r="39">
          <cell r="M39" t="str">
            <v>VF3 Eco</v>
          </cell>
          <cell r="N39" t="str">
            <v>XANH LÁ NHẠT</v>
          </cell>
          <cell r="O39" t="str">
            <v>TC2</v>
          </cell>
        </row>
        <row r="40">
          <cell r="M40" t="str">
            <v>Limo Green</v>
          </cell>
          <cell r="N40" t="str">
            <v>BẠC</v>
          </cell>
          <cell r="O40" t="str">
            <v>Limo Green</v>
          </cell>
        </row>
        <row r="41">
          <cell r="M41" t="str">
            <v>VF3 Plus</v>
          </cell>
          <cell r="N41" t="str">
            <v>Trắng</v>
          </cell>
          <cell r="O41" t="str">
            <v>Plus</v>
          </cell>
        </row>
        <row r="42">
          <cell r="M42" t="str">
            <v>VF3 Plus</v>
          </cell>
          <cell r="N42" t="str">
            <v>TRẮNG</v>
          </cell>
          <cell r="O42" t="str">
            <v>PLUS</v>
          </cell>
        </row>
        <row r="43">
          <cell r="M43" t="str">
            <v>VF5</v>
          </cell>
          <cell r="N43" t="str">
            <v>Trắng</v>
          </cell>
          <cell r="O43" t="str">
            <v>Plus</v>
          </cell>
        </row>
        <row r="44">
          <cell r="M44" t="str">
            <v>EC Van</v>
          </cell>
          <cell r="N44" t="str">
            <v>ĐỎ</v>
          </cell>
          <cell r="O44" t="str">
            <v>NÂNG CAO</v>
          </cell>
        </row>
        <row r="45">
          <cell r="M45" t="str">
            <v>Limo Green</v>
          </cell>
          <cell r="N45" t="str">
            <v>TRẮNG</v>
          </cell>
          <cell r="O45" t="str">
            <v>GREEN</v>
          </cell>
        </row>
        <row r="46">
          <cell r="M46" t="str">
            <v>VF5</v>
          </cell>
          <cell r="N46" t="str">
            <v>ĐỎ</v>
          </cell>
          <cell r="O46" t="str">
            <v>PLUS</v>
          </cell>
        </row>
        <row r="47">
          <cell r="M47" t="str">
            <v>Limo Green</v>
          </cell>
          <cell r="N47" t="str">
            <v>Đỏ</v>
          </cell>
          <cell r="O47" t="str">
            <v>Limo Green</v>
          </cell>
        </row>
        <row r="48">
          <cell r="M48" t="str">
            <v>VF5</v>
          </cell>
          <cell r="N48" t="str">
            <v>TRẮNG</v>
          </cell>
          <cell r="O48" t="str">
            <v>PLUS</v>
          </cell>
        </row>
        <row r="49">
          <cell r="M49" t="str">
            <v>Limo Green</v>
          </cell>
          <cell r="N49" t="str">
            <v>BẠC</v>
          </cell>
          <cell r="O49" t="str">
            <v>LIMO GREEN</v>
          </cell>
        </row>
        <row r="50">
          <cell r="M50" t="str">
            <v>VF3 Plus</v>
          </cell>
          <cell r="N50" t="str">
            <v>Xám</v>
          </cell>
          <cell r="O50" t="str">
            <v>Plus</v>
          </cell>
        </row>
        <row r="51">
          <cell r="M51" t="str">
            <v>Limo Green</v>
          </cell>
          <cell r="N51" t="str">
            <v>ĐỎ</v>
          </cell>
          <cell r="O51" t="str">
            <v>GREEN</v>
          </cell>
        </row>
        <row r="52">
          <cell r="M52" t="str">
            <v>Limo MPV 7</v>
          </cell>
          <cell r="N52" t="str">
            <v>XÁM</v>
          </cell>
          <cell r="O52" t="str">
            <v>MPV 7</v>
          </cell>
        </row>
        <row r="53">
          <cell r="M53" t="str">
            <v>Limo Green</v>
          </cell>
          <cell r="N53" t="str">
            <v>TRẮNG</v>
          </cell>
          <cell r="O53" t="str">
            <v>Limo Green</v>
          </cell>
        </row>
        <row r="54">
          <cell r="M54" t="str">
            <v>VF3 Eco</v>
          </cell>
          <cell r="N54" t="str">
            <v>XANH LÁ NHẠT</v>
          </cell>
          <cell r="O54" t="str">
            <v>ECO TC2</v>
          </cell>
        </row>
        <row r="55">
          <cell r="M55" t="str">
            <v>VF6 Plus</v>
          </cell>
          <cell r="N55" t="str">
            <v>TRẮNG</v>
          </cell>
          <cell r="O55" t="str">
            <v>PLUS TC2</v>
          </cell>
        </row>
        <row r="56">
          <cell r="M56" t="str">
            <v>VF5</v>
          </cell>
          <cell r="N56" t="str">
            <v>TRẮNG</v>
          </cell>
          <cell r="O56" t="str">
            <v>PLUS</v>
          </cell>
        </row>
        <row r="57">
          <cell r="M57" t="str">
            <v>Limo MPV 7</v>
          </cell>
          <cell r="N57" t="str">
            <v>TRẮNG</v>
          </cell>
          <cell r="O57" t="str">
            <v>LIMO</v>
          </cell>
        </row>
        <row r="58">
          <cell r="M58" t="str">
            <v>VF3 Plus</v>
          </cell>
          <cell r="N58" t="str">
            <v>Xanh Lá Nhạt</v>
          </cell>
          <cell r="O58" t="str">
            <v>Plus</v>
          </cell>
        </row>
        <row r="59">
          <cell r="M59" t="str">
            <v>VF3 Plus</v>
          </cell>
          <cell r="N59" t="str">
            <v>Đỏ</v>
          </cell>
          <cell r="O59" t="str">
            <v>Plus</v>
          </cell>
        </row>
        <row r="60">
          <cell r="M60" t="str">
            <v>VF3 Plus</v>
          </cell>
          <cell r="N60" t="str">
            <v>Trắng</v>
          </cell>
          <cell r="O60" t="str">
            <v>Plus</v>
          </cell>
        </row>
        <row r="61">
          <cell r="M61" t="str">
            <v>VF3 Plus</v>
          </cell>
          <cell r="N61" t="str">
            <v>HỒNG NÓC TRẮNG</v>
          </cell>
          <cell r="O61" t="str">
            <v>PLUS</v>
          </cell>
        </row>
        <row r="62">
          <cell r="M62" t="str">
            <v>VF7 Plus</v>
          </cell>
          <cell r="N62" t="str">
            <v>Trắng</v>
          </cell>
          <cell r="O62" t="str">
            <v>PLUS_TC2_1 CẦU_trần thép</v>
          </cell>
        </row>
        <row r="63">
          <cell r="M63" t="str">
            <v>VF7 Eco</v>
          </cell>
          <cell r="N63" t="str">
            <v>Đen</v>
          </cell>
          <cell r="O63" t="str">
            <v>Eco_TC2_Có HUB</v>
          </cell>
        </row>
        <row r="64">
          <cell r="M64" t="str">
            <v>VF3 Plus</v>
          </cell>
          <cell r="N64" t="str">
            <v>TRẮNG</v>
          </cell>
          <cell r="O64" t="str">
            <v>PLUS</v>
          </cell>
        </row>
        <row r="65">
          <cell r="M65" t="str">
            <v>Limo Green</v>
          </cell>
          <cell r="N65" t="str">
            <v>TRẮNG</v>
          </cell>
          <cell r="O65" t="str">
            <v>Limo Green</v>
          </cell>
        </row>
        <row r="66">
          <cell r="M66" t="str">
            <v>VF3 Eco</v>
          </cell>
          <cell r="N66" t="str">
            <v>Xanh Lá Nhạt</v>
          </cell>
          <cell r="O66" t="str">
            <v>Eco_TC2</v>
          </cell>
        </row>
        <row r="67">
          <cell r="M67" t="str">
            <v>EC Van</v>
          </cell>
          <cell r="N67" t="str">
            <v>ĐỎ</v>
          </cell>
          <cell r="O67" t="str">
            <v>NÂNG CAO</v>
          </cell>
        </row>
        <row r="68">
          <cell r="M68" t="str">
            <v>VF3 Eco</v>
          </cell>
          <cell r="N68" t="str">
            <v>TRẮNG</v>
          </cell>
          <cell r="O68" t="str">
            <v>ECO</v>
          </cell>
        </row>
        <row r="69">
          <cell r="M69" t="str">
            <v>VF5</v>
          </cell>
          <cell r="N69" t="str">
            <v>TRẮNG</v>
          </cell>
          <cell r="O69" t="str">
            <v>PLUS</v>
          </cell>
        </row>
        <row r="70">
          <cell r="M70" t="str">
            <v>VF6 Plus</v>
          </cell>
          <cell r="N70" t="str">
            <v>Trắng</v>
          </cell>
          <cell r="O70" t="str">
            <v>Plus</v>
          </cell>
        </row>
        <row r="71">
          <cell r="M71" t="str">
            <v>VF5</v>
          </cell>
          <cell r="N71" t="str">
            <v>Xám</v>
          </cell>
          <cell r="O71" t="str">
            <v>Plus</v>
          </cell>
        </row>
        <row r="72">
          <cell r="M72" t="str">
            <v>VF9 Plus</v>
          </cell>
          <cell r="N72" t="str">
            <v>ĐEN</v>
          </cell>
          <cell r="O72" t="str">
            <v>PLUS</v>
          </cell>
        </row>
        <row r="73">
          <cell r="M73" t="str">
            <v>VF3 Plus</v>
          </cell>
          <cell r="N73" t="str">
            <v>TRẮNG</v>
          </cell>
          <cell r="O73" t="str">
            <v>PLUS</v>
          </cell>
        </row>
        <row r="74">
          <cell r="M74" t="str">
            <v>Limo Green</v>
          </cell>
          <cell r="N74" t="str">
            <v>TRẮNG</v>
          </cell>
          <cell r="O74" t="str">
            <v>GREEN</v>
          </cell>
        </row>
        <row r="75">
          <cell r="M75" t="str">
            <v>VF5</v>
          </cell>
          <cell r="N75" t="str">
            <v>Trắng</v>
          </cell>
          <cell r="O75" t="str">
            <v>Plus</v>
          </cell>
        </row>
        <row r="76">
          <cell r="M76" t="str">
            <v>VF9 Plus</v>
          </cell>
          <cell r="N76" t="str">
            <v>ĐEN</v>
          </cell>
          <cell r="O76" t="str">
            <v>PLSU</v>
          </cell>
        </row>
        <row r="77">
          <cell r="M77" t="str">
            <v>Limo Green</v>
          </cell>
          <cell r="N77" t="str">
            <v>TRẮNG</v>
          </cell>
          <cell r="O77" t="str">
            <v>LIMOGREEN</v>
          </cell>
        </row>
        <row r="78">
          <cell r="M78" t="str">
            <v>Limo Green</v>
          </cell>
          <cell r="N78" t="str">
            <v>BẠC</v>
          </cell>
          <cell r="O78" t="str">
            <v>GREEN</v>
          </cell>
        </row>
        <row r="79">
          <cell r="M79" t="str">
            <v>VF3 Plus</v>
          </cell>
          <cell r="N79" t="str">
            <v>XÁM XI MĂNG</v>
          </cell>
          <cell r="O79" t="str">
            <v>PLUS</v>
          </cell>
        </row>
        <row r="80">
          <cell r="M80" t="str">
            <v>Limo MPV 7</v>
          </cell>
          <cell r="N80" t="str">
            <v>Trắng</v>
          </cell>
          <cell r="O80" t="str">
            <v>VF MPV 7</v>
          </cell>
        </row>
        <row r="81">
          <cell r="M81" t="str">
            <v>Limo MPV 7</v>
          </cell>
          <cell r="N81" t="str">
            <v>Trắng</v>
          </cell>
          <cell r="O81" t="str">
            <v>VF MPV 7</v>
          </cell>
        </row>
        <row r="82">
          <cell r="M82" t="str">
            <v>VF3 Plus</v>
          </cell>
          <cell r="N82" t="str">
            <v>XÁM</v>
          </cell>
          <cell r="O82" t="str">
            <v>PLUS</v>
          </cell>
        </row>
        <row r="83">
          <cell r="M83" t="str">
            <v>Limo Green</v>
          </cell>
          <cell r="N83" t="str">
            <v>TRẮNG</v>
          </cell>
          <cell r="O83" t="str">
            <v>LIMOGREEN</v>
          </cell>
        </row>
        <row r="84">
          <cell r="M84" t="str">
            <v>VF3 Plus</v>
          </cell>
          <cell r="N84" t="str">
            <v>XÁM</v>
          </cell>
          <cell r="O84" t="str">
            <v>PLUS</v>
          </cell>
        </row>
        <row r="85">
          <cell r="M85" t="str">
            <v>Limo Green</v>
          </cell>
          <cell r="N85" t="str">
            <v>TRẮNG</v>
          </cell>
          <cell r="O85" t="str">
            <v>LIMO GREEN</v>
          </cell>
        </row>
        <row r="86">
          <cell r="M86" t="str">
            <v>VF3 Plus</v>
          </cell>
          <cell r="N86" t="str">
            <v>ĐỎ</v>
          </cell>
          <cell r="O86" t="str">
            <v>PLUS</v>
          </cell>
        </row>
        <row r="87">
          <cell r="M87" t="str">
            <v>VF5</v>
          </cell>
          <cell r="N87" t="str">
            <v>TRẮNG</v>
          </cell>
          <cell r="O87" t="str">
            <v>PLUS</v>
          </cell>
        </row>
        <row r="88">
          <cell r="M88" t="str">
            <v>Limo Green</v>
          </cell>
          <cell r="N88" t="str">
            <v>ĐỎ</v>
          </cell>
          <cell r="O88" t="str">
            <v>LIMO GREEN</v>
          </cell>
        </row>
        <row r="89">
          <cell r="M89" t="str">
            <v>VF3 Eco</v>
          </cell>
          <cell r="N89" t="str">
            <v>XANH LÁ NHẠT</v>
          </cell>
          <cell r="O89" t="str">
            <v>ECO TC2</v>
          </cell>
        </row>
        <row r="90">
          <cell r="M90" t="str">
            <v>Limo Green</v>
          </cell>
          <cell r="N90" t="str">
            <v>TRẮNG</v>
          </cell>
          <cell r="O90" t="str">
            <v>LIMO GREEN</v>
          </cell>
        </row>
        <row r="91">
          <cell r="M91" t="str">
            <v>Limo Green</v>
          </cell>
          <cell r="N91" t="str">
            <v>TRẮNG</v>
          </cell>
          <cell r="O91" t="str">
            <v>LIMO GREEN</v>
          </cell>
        </row>
        <row r="92">
          <cell r="M92" t="str">
            <v>Limo Green</v>
          </cell>
          <cell r="N92" t="str">
            <v>TRẮNG</v>
          </cell>
          <cell r="O92" t="str">
            <v>Limo Green</v>
          </cell>
        </row>
        <row r="93">
          <cell r="M93" t="str">
            <v>VF7 Plus</v>
          </cell>
          <cell r="N93" t="str">
            <v>TRẮNG</v>
          </cell>
          <cell r="O93" t="str">
            <v>PLUS_2 CẦU</v>
          </cell>
        </row>
        <row r="94">
          <cell r="M94" t="str">
            <v>VF5</v>
          </cell>
          <cell r="N94" t="str">
            <v>TRẮNG</v>
          </cell>
          <cell r="O94" t="str">
            <v>PLUS</v>
          </cell>
        </row>
        <row r="95">
          <cell r="M95" t="str">
            <v>VF3 Plus</v>
          </cell>
          <cell r="N95" t="str">
            <v>HỒNG</v>
          </cell>
          <cell r="O95" t="str">
            <v>PLUS</v>
          </cell>
        </row>
        <row r="96">
          <cell r="M96" t="str">
            <v>Limo Green</v>
          </cell>
          <cell r="N96" t="str">
            <v>TRẮNG</v>
          </cell>
          <cell r="O96" t="str">
            <v>Limo Green</v>
          </cell>
        </row>
        <row r="97">
          <cell r="M97" t="str">
            <v>VF6 Plus</v>
          </cell>
          <cell r="N97" t="str">
            <v>XÁM LC</v>
          </cell>
          <cell r="O97" t="str">
            <v>PLUS</v>
          </cell>
        </row>
        <row r="98">
          <cell r="M98" t="str">
            <v>VF3 Plus</v>
          </cell>
          <cell r="N98" t="str">
            <v>TRẮNG</v>
          </cell>
          <cell r="O98" t="str">
            <v>PLUS</v>
          </cell>
        </row>
        <row r="99">
          <cell r="M99" t="str">
            <v>VF7 Plus</v>
          </cell>
          <cell r="N99" t="str">
            <v>TRẮNG</v>
          </cell>
          <cell r="O99" t="str">
            <v>PLUS_TC2_AWD</v>
          </cell>
        </row>
        <row r="100">
          <cell r="M100" t="str">
            <v>VF5</v>
          </cell>
          <cell r="N100" t="str">
            <v>Đỏ</v>
          </cell>
          <cell r="O100" t="str">
            <v>Plus</v>
          </cell>
        </row>
        <row r="101">
          <cell r="M101" t="str">
            <v>Limo Green</v>
          </cell>
          <cell r="N101" t="str">
            <v>TRẮNG</v>
          </cell>
          <cell r="O101" t="str">
            <v>GREEN</v>
          </cell>
        </row>
        <row r="102">
          <cell r="M102" t="str">
            <v>Limo Green</v>
          </cell>
          <cell r="N102" t="str">
            <v>TRẮNG</v>
          </cell>
          <cell r="O102" t="str">
            <v>LIMO GREEN</v>
          </cell>
        </row>
        <row r="103">
          <cell r="M103" t="str">
            <v>VF3 Eco</v>
          </cell>
          <cell r="N103" t="str">
            <v>TRẮNG</v>
          </cell>
          <cell r="O103" t="str">
            <v>ECO</v>
          </cell>
        </row>
        <row r="104">
          <cell r="M104" t="str">
            <v>EC Van</v>
          </cell>
          <cell r="N104" t="str">
            <v>TRẮNG</v>
          </cell>
          <cell r="O104" t="str">
            <v>NÂNG CAO</v>
          </cell>
        </row>
        <row r="105">
          <cell r="M105" t="str">
            <v>Limo Green</v>
          </cell>
          <cell r="N105" t="str">
            <v>TRẮNG</v>
          </cell>
          <cell r="O105" t="str">
            <v>LIMO GREEN</v>
          </cell>
        </row>
        <row r="106">
          <cell r="M106" t="str">
            <v>Limo MPV 7</v>
          </cell>
          <cell r="N106" t="str">
            <v>Đen</v>
          </cell>
          <cell r="O106" t="str">
            <v>VF MPV 7</v>
          </cell>
        </row>
        <row r="107">
          <cell r="M107" t="str">
            <v>Limo MPV 7</v>
          </cell>
          <cell r="N107" t="str">
            <v>TRẮNG</v>
          </cell>
          <cell r="O107" t="str">
            <v>MPV7</v>
          </cell>
        </row>
        <row r="108">
          <cell r="M108" t="str">
            <v>VF6 Plus</v>
          </cell>
          <cell r="N108" t="str">
            <v>Trắng</v>
          </cell>
          <cell r="O108" t="str">
            <v>Plus_TC2</v>
          </cell>
        </row>
        <row r="109">
          <cell r="M109" t="str">
            <v>VF6 Plus</v>
          </cell>
          <cell r="N109" t="str">
            <v>ĐỎ</v>
          </cell>
          <cell r="O109" t="str">
            <v>PLUS</v>
          </cell>
        </row>
        <row r="110">
          <cell r="M110" t="str">
            <v>Limo MPV 7</v>
          </cell>
          <cell r="N110" t="str">
            <v>TRẮNG</v>
          </cell>
          <cell r="O110" t="str">
            <v>MPV 7</v>
          </cell>
        </row>
        <row r="111">
          <cell r="M111" t="str">
            <v>VF3 Eco</v>
          </cell>
          <cell r="N111" t="str">
            <v>HỒNG PHẤN</v>
          </cell>
          <cell r="O111" t="str">
            <v>BASE_TC2</v>
          </cell>
        </row>
        <row r="112">
          <cell r="M112" t="str">
            <v>Limo MPV 7</v>
          </cell>
          <cell r="N112" t="str">
            <v>Trắng</v>
          </cell>
          <cell r="O112" t="str">
            <v>VF MPV 7</v>
          </cell>
        </row>
        <row r="113">
          <cell r="M113" t="str">
            <v>VF3 Eco</v>
          </cell>
          <cell r="N113" t="str">
            <v>XÁM</v>
          </cell>
          <cell r="O113" t="str">
            <v>TC1</v>
          </cell>
        </row>
        <row r="114">
          <cell r="M114" t="str">
            <v>VF3 Eco</v>
          </cell>
          <cell r="N114" t="str">
            <v>Vàng</v>
          </cell>
          <cell r="O114" t="str">
            <v>Eco</v>
          </cell>
        </row>
        <row r="115">
          <cell r="M115" t="str">
            <v>VF5</v>
          </cell>
          <cell r="N115" t="str">
            <v>TRẮNG</v>
          </cell>
          <cell r="O115" t="str">
            <v>PLUS</v>
          </cell>
        </row>
        <row r="116">
          <cell r="M116" t="str">
            <v>VF3 Eco</v>
          </cell>
          <cell r="N116" t="str">
            <v>XÁM</v>
          </cell>
          <cell r="O116" t="str">
            <v>ECO</v>
          </cell>
        </row>
        <row r="117">
          <cell r="M117" t="str">
            <v>VF3 Plus</v>
          </cell>
          <cell r="N117" t="str">
            <v>Xám</v>
          </cell>
          <cell r="O117" t="str">
            <v>Plus</v>
          </cell>
        </row>
        <row r="118">
          <cell r="M118" t="str">
            <v>VF3 Eco</v>
          </cell>
          <cell r="N118" t="str">
            <v>TRẮNG</v>
          </cell>
          <cell r="O118" t="str">
            <v>ECO TC2</v>
          </cell>
        </row>
        <row r="119">
          <cell r="M119" t="str">
            <v>Limo Green</v>
          </cell>
          <cell r="N119" t="str">
            <v>BẠC</v>
          </cell>
          <cell r="O119" t="str">
            <v>GREEN</v>
          </cell>
        </row>
        <row r="120">
          <cell r="M120" t="str">
            <v>Limo Green</v>
          </cell>
          <cell r="N120" t="str">
            <v>Đỏ</v>
          </cell>
          <cell r="O120" t="str">
            <v>Limo Green</v>
          </cell>
        </row>
        <row r="121">
          <cell r="M121" t="str">
            <v>Limo MPV 7</v>
          </cell>
          <cell r="N121" t="str">
            <v>TRẮNG</v>
          </cell>
          <cell r="O121" t="str">
            <v>PLUS</v>
          </cell>
        </row>
        <row r="122">
          <cell r="M122" t="str">
            <v>Limo Green</v>
          </cell>
          <cell r="N122" t="str">
            <v>TRẮNG</v>
          </cell>
          <cell r="O122" t="str">
            <v>Limo Green</v>
          </cell>
        </row>
        <row r="123">
          <cell r="M123" t="str">
            <v>Limo MPV 7</v>
          </cell>
          <cell r="N123" t="str">
            <v>Trắng</v>
          </cell>
          <cell r="O123" t="str">
            <v>PLUS</v>
          </cell>
        </row>
        <row r="124">
          <cell r="M124" t="str">
            <v>VF3 Eco</v>
          </cell>
          <cell r="N124" t="str">
            <v>VÀNG</v>
          </cell>
          <cell r="O124" t="str">
            <v>ECO TC2</v>
          </cell>
        </row>
        <row r="125">
          <cell r="M125" t="str">
            <v>VF3 Eco</v>
          </cell>
          <cell r="N125" t="str">
            <v>ĐỎ</v>
          </cell>
          <cell r="O125" t="str">
            <v>ECO TC2</v>
          </cell>
        </row>
        <row r="126">
          <cell r="M126" t="str">
            <v>Limo Green</v>
          </cell>
          <cell r="N126" t="str">
            <v>BẠC</v>
          </cell>
          <cell r="O126" t="str">
            <v>GREEN</v>
          </cell>
        </row>
        <row r="127">
          <cell r="M127" t="str">
            <v>Limo MPV 7</v>
          </cell>
          <cell r="N127" t="str">
            <v>Trắng</v>
          </cell>
          <cell r="O127" t="str">
            <v>VF MPV 7</v>
          </cell>
        </row>
        <row r="128">
          <cell r="M128" t="str">
            <v>VF7 Eco</v>
          </cell>
          <cell r="N128" t="str">
            <v>TRẮNG</v>
          </cell>
          <cell r="O128" t="str">
            <v>ECO_hud</v>
          </cell>
        </row>
        <row r="129">
          <cell r="M129" t="str">
            <v>Limo MPV 7</v>
          </cell>
          <cell r="N129" t="str">
            <v>TRẮNG</v>
          </cell>
          <cell r="O129" t="str">
            <v>MPV7</v>
          </cell>
        </row>
        <row r="130">
          <cell r="M130" t="str">
            <v>VF3 Eco</v>
          </cell>
          <cell r="N130" t="str">
            <v>VÀNG</v>
          </cell>
          <cell r="O130" t="str">
            <v>ECO TC2</v>
          </cell>
        </row>
        <row r="131">
          <cell r="M131" t="str">
            <v>VF3 Plus</v>
          </cell>
          <cell r="N131" t="str">
            <v>TRẮNG</v>
          </cell>
          <cell r="O131" t="str">
            <v>PLUS</v>
          </cell>
        </row>
        <row r="132">
          <cell r="M132" t="str">
            <v xml:space="preserve">VF6 Eco </v>
          </cell>
          <cell r="N132" t="str">
            <v>Xanh Lá Nhạt</v>
          </cell>
          <cell r="O132" t="str">
            <v>Eco</v>
          </cell>
        </row>
        <row r="133">
          <cell r="M133" t="str">
            <v>VF3 Plus</v>
          </cell>
          <cell r="N133" t="str">
            <v>Vàng</v>
          </cell>
          <cell r="O133" t="str">
            <v>Plus</v>
          </cell>
        </row>
        <row r="134">
          <cell r="M134" t="str">
            <v>VF3 Eco</v>
          </cell>
          <cell r="N134" t="str">
            <v>Vàng</v>
          </cell>
          <cell r="O134" t="str">
            <v>Eco</v>
          </cell>
        </row>
        <row r="135">
          <cell r="M135" t="str">
            <v>VF3 Eco</v>
          </cell>
          <cell r="N135" t="str">
            <v>Vàng</v>
          </cell>
          <cell r="O135" t="str">
            <v>Eco</v>
          </cell>
        </row>
        <row r="136">
          <cell r="M136" t="str">
            <v>VF3 Plus</v>
          </cell>
          <cell r="N136" t="str">
            <v>XÁM</v>
          </cell>
          <cell r="O136" t="str">
            <v>PLUS</v>
          </cell>
        </row>
        <row r="137">
          <cell r="M137" t="str">
            <v>VF7 Plus</v>
          </cell>
          <cell r="N137" t="str">
            <v>XÁM</v>
          </cell>
          <cell r="O137" t="str">
            <v>PLUS_TC2_AWD</v>
          </cell>
        </row>
        <row r="138">
          <cell r="M138" t="str">
            <v>VF5</v>
          </cell>
          <cell r="N138" t="str">
            <v>Xanh Lá Nhạt</v>
          </cell>
          <cell r="O138" t="str">
            <v>Plus</v>
          </cell>
        </row>
        <row r="139">
          <cell r="M139" t="str">
            <v>VF3 Plus</v>
          </cell>
          <cell r="N139" t="str">
            <v>Trắng</v>
          </cell>
          <cell r="O139" t="str">
            <v>Plus</v>
          </cell>
        </row>
        <row r="140">
          <cell r="M140" t="str">
            <v>VF8 Plus</v>
          </cell>
          <cell r="N140" t="str">
            <v>Trắng</v>
          </cell>
          <cell r="O140" t="str">
            <v>Plus_Limited</v>
          </cell>
        </row>
        <row r="141">
          <cell r="M141" t="str">
            <v>Limo Green</v>
          </cell>
          <cell r="N141" t="str">
            <v>BẠC</v>
          </cell>
          <cell r="O141" t="str">
            <v>LIMOGREEN</v>
          </cell>
        </row>
        <row r="142">
          <cell r="M142" t="str">
            <v>VF3 Eco</v>
          </cell>
          <cell r="N142" t="str">
            <v>VÀNG</v>
          </cell>
          <cell r="O142" t="str">
            <v>TC 2</v>
          </cell>
        </row>
        <row r="143">
          <cell r="M143" t="str">
            <v>VF3 Plus</v>
          </cell>
          <cell r="N143" t="str">
            <v>TRẮNG</v>
          </cell>
          <cell r="O143" t="str">
            <v>PLUS</v>
          </cell>
        </row>
        <row r="144">
          <cell r="M144" t="str">
            <v>VF3 Plus</v>
          </cell>
          <cell r="N144" t="str">
            <v>TRẮNG</v>
          </cell>
          <cell r="O144" t="str">
            <v>PLUS</v>
          </cell>
        </row>
        <row r="145">
          <cell r="M145" t="str">
            <v>VF3 Plus</v>
          </cell>
          <cell r="N145" t="str">
            <v>TRẮNG</v>
          </cell>
          <cell r="O145" t="str">
            <v>PLUS</v>
          </cell>
        </row>
        <row r="146">
          <cell r="M146" t="str">
            <v>Limo MPV 7</v>
          </cell>
          <cell r="N146" t="str">
            <v>Đỏ</v>
          </cell>
          <cell r="O146" t="str">
            <v>VF MPV 7</v>
          </cell>
        </row>
        <row r="147">
          <cell r="M147" t="str">
            <v>VF3 Plus</v>
          </cell>
          <cell r="N147" t="str">
            <v>Hồng Phấn</v>
          </cell>
          <cell r="O147" t="str">
            <v>Plus</v>
          </cell>
        </row>
        <row r="148">
          <cell r="M148" t="str">
            <v>Limo MPV 7</v>
          </cell>
          <cell r="N148" t="str">
            <v>ĐỎ RUBY</v>
          </cell>
          <cell r="O148" t="str">
            <v>VF MPV 7</v>
          </cell>
        </row>
        <row r="149">
          <cell r="M149" t="str">
            <v>VF7 Eco</v>
          </cell>
          <cell r="N149" t="str">
            <v>Trắng</v>
          </cell>
          <cell r="O149" t="str">
            <v>Eco_TC2_Có HUB</v>
          </cell>
        </row>
        <row r="150">
          <cell r="M150" t="str">
            <v>Limo MPV 7</v>
          </cell>
          <cell r="N150" t="str">
            <v>TRẮNG</v>
          </cell>
          <cell r="O150" t="str">
            <v>VF MPV 7</v>
          </cell>
        </row>
        <row r="151">
          <cell r="M151" t="str">
            <v>VF3 Plus</v>
          </cell>
          <cell r="N151" t="str">
            <v>Xám</v>
          </cell>
          <cell r="O151" t="str">
            <v>Plus</v>
          </cell>
        </row>
        <row r="152">
          <cell r="M152" t="str">
            <v>Limo Green</v>
          </cell>
          <cell r="N152" t="str">
            <v>BẠC</v>
          </cell>
          <cell r="O152" t="str">
            <v>LIMO GREEN</v>
          </cell>
        </row>
        <row r="153">
          <cell r="M153" t="str">
            <v>Limo MPV 7</v>
          </cell>
          <cell r="N153" t="str">
            <v>TRẮNG</v>
          </cell>
          <cell r="O153" t="str">
            <v>MPV7</v>
          </cell>
        </row>
        <row r="154">
          <cell r="M154" t="str">
            <v>VF3 Plus</v>
          </cell>
          <cell r="N154" t="str">
            <v>XÁM</v>
          </cell>
          <cell r="O154" t="str">
            <v>PLUS</v>
          </cell>
        </row>
        <row r="155">
          <cell r="M155" t="str">
            <v>VF3 Eco</v>
          </cell>
          <cell r="N155" t="str">
            <v>ĐỎ</v>
          </cell>
          <cell r="O155" t="str">
            <v>ECO</v>
          </cell>
        </row>
        <row r="156">
          <cell r="M156" t="str">
            <v>VF3 Plus</v>
          </cell>
          <cell r="N156" t="str">
            <v>Đỏ</v>
          </cell>
          <cell r="O156" t="str">
            <v>Plus</v>
          </cell>
        </row>
        <row r="157">
          <cell r="M157" t="str">
            <v>VF3 Eco</v>
          </cell>
          <cell r="N157" t="str">
            <v>XANH NÓC TRẮNG</v>
          </cell>
          <cell r="O157" t="str">
            <v>ECO TC2</v>
          </cell>
        </row>
        <row r="158">
          <cell r="M158" t="str">
            <v>VF3 Plus</v>
          </cell>
          <cell r="N158" t="str">
            <v>Xanh Lá Nhạt</v>
          </cell>
          <cell r="O158" t="str">
            <v>Plus</v>
          </cell>
        </row>
        <row r="159">
          <cell r="M159" t="str">
            <v>VF5</v>
          </cell>
          <cell r="N159" t="str">
            <v>XÁM XI MĂNG</v>
          </cell>
          <cell r="O159" t="str">
            <v>PLUS</v>
          </cell>
        </row>
        <row r="160">
          <cell r="M160" t="str">
            <v>Limo MPV 7</v>
          </cell>
          <cell r="N160" t="str">
            <v>Đen</v>
          </cell>
          <cell r="O160" t="str">
            <v>VF MPV 7</v>
          </cell>
        </row>
        <row r="161">
          <cell r="M161" t="str">
            <v>VF5</v>
          </cell>
          <cell r="N161" t="str">
            <v>XANH LÁ</v>
          </cell>
          <cell r="O161" t="str">
            <v>PLUS</v>
          </cell>
        </row>
        <row r="162">
          <cell r="M162" t="str">
            <v>VF3 Eco</v>
          </cell>
          <cell r="N162" t="str">
            <v>VÀNG</v>
          </cell>
          <cell r="O162" t="str">
            <v>ECO</v>
          </cell>
        </row>
        <row r="163">
          <cell r="M163" t="str">
            <v>VF5</v>
          </cell>
          <cell r="N163" t="str">
            <v>Trắng</v>
          </cell>
          <cell r="O163" t="str">
            <v>Plus</v>
          </cell>
        </row>
        <row r="164">
          <cell r="M164" t="str">
            <v>VF5</v>
          </cell>
          <cell r="N164" t="str">
            <v>XÁM XI MĂNG</v>
          </cell>
          <cell r="O164" t="str">
            <v>PLUS</v>
          </cell>
        </row>
        <row r="165">
          <cell r="M165" t="str">
            <v xml:space="preserve">VF8 Eco </v>
          </cell>
          <cell r="N165" t="str">
            <v>TRẮNG</v>
          </cell>
          <cell r="O165" t="str">
            <v>ECO_FWD</v>
          </cell>
        </row>
        <row r="166">
          <cell r="M166" t="str">
            <v>Limo MPV 7</v>
          </cell>
          <cell r="N166" t="str">
            <v>ĐEN</v>
          </cell>
          <cell r="O166" t="str">
            <v>MPV7</v>
          </cell>
        </row>
        <row r="167">
          <cell r="M167" t="str">
            <v>VF3 Plus</v>
          </cell>
          <cell r="N167" t="str">
            <v>Đỏ</v>
          </cell>
          <cell r="O167" t="str">
            <v>Plus</v>
          </cell>
        </row>
        <row r="168">
          <cell r="M168" t="str">
            <v>VF5</v>
          </cell>
          <cell r="N168" t="str">
            <v>TRẮNG</v>
          </cell>
          <cell r="O168" t="str">
            <v>PLUS</v>
          </cell>
        </row>
        <row r="169">
          <cell r="M169" t="str">
            <v>VF3 Eco</v>
          </cell>
          <cell r="N169" t="str">
            <v>TRẮNG</v>
          </cell>
          <cell r="O169" t="str">
            <v>ECO</v>
          </cell>
        </row>
        <row r="170">
          <cell r="M170" t="str">
            <v>VF7 Plus</v>
          </cell>
          <cell r="N170" t="str">
            <v>ĐỎ</v>
          </cell>
          <cell r="O170" t="str">
            <v>PLUS</v>
          </cell>
        </row>
        <row r="171">
          <cell r="M171" t="str">
            <v>VF3 Plus</v>
          </cell>
          <cell r="N171" t="str">
            <v>ĐỎ</v>
          </cell>
          <cell r="O171" t="str">
            <v>PLUS</v>
          </cell>
        </row>
        <row r="172">
          <cell r="M172" t="str">
            <v>VF5</v>
          </cell>
          <cell r="N172" t="str">
            <v>TRẮNG</v>
          </cell>
          <cell r="O172" t="str">
            <v>PLUS</v>
          </cell>
        </row>
        <row r="173">
          <cell r="M173" t="str">
            <v>VF3 Plus</v>
          </cell>
          <cell r="N173" t="str">
            <v>TRẮNG</v>
          </cell>
          <cell r="O173" t="str">
            <v>PLUS</v>
          </cell>
        </row>
        <row r="174">
          <cell r="M174" t="str">
            <v>VF3 Eco</v>
          </cell>
          <cell r="N174" t="str">
            <v>ĐỎ</v>
          </cell>
          <cell r="O174" t="str">
            <v>ECO</v>
          </cell>
        </row>
        <row r="175">
          <cell r="M175" t="str">
            <v>Limo Green</v>
          </cell>
          <cell r="N175" t="str">
            <v>BẠC</v>
          </cell>
          <cell r="O175" t="str">
            <v>LIMO GREEN</v>
          </cell>
        </row>
        <row r="176">
          <cell r="M176" t="str">
            <v>Limo MPV 7</v>
          </cell>
          <cell r="N176" t="str">
            <v>ĐEN</v>
          </cell>
          <cell r="O176" t="str">
            <v>MPV7</v>
          </cell>
        </row>
        <row r="177">
          <cell r="M177" t="str">
            <v>VF3 Plus</v>
          </cell>
          <cell r="N177" t="str">
            <v>XÁM</v>
          </cell>
          <cell r="O177" t="str">
            <v>PLUS</v>
          </cell>
        </row>
        <row r="178">
          <cell r="M178" t="str">
            <v>EC Van</v>
          </cell>
          <cell r="N178" t="str">
            <v>NÂNG CAO</v>
          </cell>
          <cell r="O178" t="str">
            <v>nânG CAO</v>
          </cell>
        </row>
        <row r="179">
          <cell r="M179" t="str">
            <v>Limo Green</v>
          </cell>
          <cell r="N179" t="str">
            <v>Đen</v>
          </cell>
          <cell r="O179" t="str">
            <v>Limo Green</v>
          </cell>
        </row>
        <row r="180">
          <cell r="M180" t="str">
            <v>VF3 Eco</v>
          </cell>
          <cell r="N180" t="str">
            <v>XÁM</v>
          </cell>
          <cell r="O180" t="str">
            <v>ECO</v>
          </cell>
        </row>
        <row r="181">
          <cell r="M181" t="str">
            <v>Limo Green</v>
          </cell>
          <cell r="N181" t="str">
            <v>Bạc</v>
          </cell>
          <cell r="O181" t="str">
            <v>Limo Green</v>
          </cell>
        </row>
        <row r="182">
          <cell r="M182" t="str">
            <v>Limo Green</v>
          </cell>
          <cell r="N182" t="str">
            <v>TRẮNG</v>
          </cell>
          <cell r="O182" t="str">
            <v>Limo Green</v>
          </cell>
        </row>
        <row r="183">
          <cell r="M183" t="str">
            <v>VF6 Plus</v>
          </cell>
          <cell r="N183" t="str">
            <v>ĐEN</v>
          </cell>
          <cell r="O183" t="str">
            <v>PLUS</v>
          </cell>
        </row>
        <row r="184">
          <cell r="M184" t="str">
            <v>VF3 Plus</v>
          </cell>
          <cell r="N184" t="str">
            <v>Hồng Phấn</v>
          </cell>
          <cell r="O184" t="str">
            <v>Plus</v>
          </cell>
        </row>
        <row r="185">
          <cell r="M185" t="str">
            <v>VF3 Eco</v>
          </cell>
          <cell r="N185" t="str">
            <v>Xanh/Trắng</v>
          </cell>
          <cell r="O185" t="str">
            <v>Eco</v>
          </cell>
        </row>
        <row r="186">
          <cell r="M186" t="str">
            <v>Limo Green</v>
          </cell>
          <cell r="N186" t="str">
            <v>ĐEN</v>
          </cell>
          <cell r="O186" t="str">
            <v>GREEN</v>
          </cell>
        </row>
        <row r="187">
          <cell r="M187" t="str">
            <v>Limo Green</v>
          </cell>
          <cell r="N187" t="str">
            <v>Bạc</v>
          </cell>
          <cell r="O187" t="str">
            <v>Limo Green</v>
          </cell>
        </row>
        <row r="188">
          <cell r="M188" t="str">
            <v>VF3 Eco</v>
          </cell>
          <cell r="N188" t="str">
            <v>ĐỎ</v>
          </cell>
          <cell r="O188" t="str">
            <v>ECO TC2</v>
          </cell>
        </row>
        <row r="189">
          <cell r="M189" t="str">
            <v>Limo Green</v>
          </cell>
          <cell r="N189" t="str">
            <v>Đen</v>
          </cell>
          <cell r="O189" t="str">
            <v>Limo Green</v>
          </cell>
        </row>
        <row r="190">
          <cell r="M190" t="str">
            <v>Limo MPV 7</v>
          </cell>
          <cell r="N190" t="str">
            <v>TRẮNG</v>
          </cell>
          <cell r="O190" t="str">
            <v>VF MPV 7</v>
          </cell>
        </row>
        <row r="191">
          <cell r="M191" t="str">
            <v>VF6 Plus</v>
          </cell>
          <cell r="N191" t="str">
            <v>TRẮNG</v>
          </cell>
          <cell r="O191" t="str">
            <v>PLUS</v>
          </cell>
        </row>
        <row r="192">
          <cell r="M192" t="str">
            <v xml:space="preserve">VF6 Eco </v>
          </cell>
          <cell r="N192" t="str">
            <v>Trắng</v>
          </cell>
          <cell r="O192" t="str">
            <v>Eco_TC1</v>
          </cell>
        </row>
        <row r="193">
          <cell r="M193" t="str">
            <v>Limo MPV 7</v>
          </cell>
          <cell r="N193" t="str">
            <v>Đen</v>
          </cell>
          <cell r="O193" t="str">
            <v>VF MPV 7</v>
          </cell>
        </row>
        <row r="194">
          <cell r="M194" t="str">
            <v>Limo Green</v>
          </cell>
          <cell r="N194" t="str">
            <v>BẠC</v>
          </cell>
          <cell r="O194" t="str">
            <v>LIMOGREEN</v>
          </cell>
        </row>
        <row r="195">
          <cell r="M195" t="str">
            <v>Limo MPV 7</v>
          </cell>
          <cell r="N195" t="str">
            <v>Xám</v>
          </cell>
          <cell r="O195" t="str">
            <v>VF MPV 7</v>
          </cell>
        </row>
        <row r="196">
          <cell r="M196" t="str">
            <v>VF3 Plus</v>
          </cell>
          <cell r="N196" t="str">
            <v>TRẮNG</v>
          </cell>
          <cell r="O196" t="str">
            <v>PLUS</v>
          </cell>
        </row>
        <row r="197">
          <cell r="M197" t="str">
            <v>VF3 Plus</v>
          </cell>
          <cell r="N197" t="str">
            <v>Xám</v>
          </cell>
          <cell r="O197" t="str">
            <v>Plus</v>
          </cell>
        </row>
        <row r="198">
          <cell r="M198" t="str">
            <v xml:space="preserve">VF6 Eco </v>
          </cell>
          <cell r="N198" t="str">
            <v>ĐEN</v>
          </cell>
          <cell r="O198" t="str">
            <v>ECO</v>
          </cell>
        </row>
        <row r="199">
          <cell r="M199" t="str">
            <v>Limo Green</v>
          </cell>
          <cell r="N199" t="str">
            <v>TRẮNG</v>
          </cell>
          <cell r="O199" t="str">
            <v>GREEN</v>
          </cell>
        </row>
        <row r="200">
          <cell r="M200" t="str">
            <v>Limo Green</v>
          </cell>
          <cell r="N200" t="str">
            <v>TRẮNG</v>
          </cell>
          <cell r="O200" t="str">
            <v>Green</v>
          </cell>
        </row>
        <row r="201">
          <cell r="M201" t="str">
            <v>Limo Green</v>
          </cell>
          <cell r="N201" t="str">
            <v>TRẮNG</v>
          </cell>
          <cell r="O201" t="str">
            <v>Green</v>
          </cell>
        </row>
        <row r="202">
          <cell r="M202" t="str">
            <v>Limo Green</v>
          </cell>
          <cell r="N202" t="str">
            <v>BẠC</v>
          </cell>
          <cell r="O202" t="str">
            <v>GREEN</v>
          </cell>
        </row>
        <row r="203">
          <cell r="M203" t="str">
            <v>Limo Green</v>
          </cell>
          <cell r="N203" t="str">
            <v>Bạc</v>
          </cell>
          <cell r="O203" t="str">
            <v>Limo Green</v>
          </cell>
        </row>
        <row r="204">
          <cell r="M204" t="str">
            <v>Limo MPV 7</v>
          </cell>
          <cell r="N204" t="str">
            <v>TRẮNG</v>
          </cell>
          <cell r="O204" t="str">
            <v>MPV7</v>
          </cell>
        </row>
        <row r="205">
          <cell r="M205" t="str">
            <v>Limo Green</v>
          </cell>
          <cell r="N205" t="str">
            <v>TRẮNG</v>
          </cell>
          <cell r="O205" t="str">
            <v>Green</v>
          </cell>
        </row>
        <row r="206">
          <cell r="M206" t="str">
            <v>Limo MPV 7</v>
          </cell>
          <cell r="N206" t="str">
            <v>Xám</v>
          </cell>
          <cell r="O206" t="str">
            <v>VF MPV 7</v>
          </cell>
        </row>
        <row r="207">
          <cell r="M207" t="str">
            <v>VF3 Eco</v>
          </cell>
          <cell r="N207" t="str">
            <v>TRẮNG</v>
          </cell>
          <cell r="O207" t="str">
            <v>ECO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OS" refreshedDate="46148.87566539352" createdVersion="8" refreshedVersion="8" minRefreshableVersion="3" recordCount="201" xr:uid="{DD08DD85-A145-4ADF-AE57-EED672AD211F}">
  <cacheSource type="worksheet">
    <worksheetSource ref="A6:AF207" sheet="Báo cáo lợi nhuận"/>
  </cacheSource>
  <cacheFields count="32">
    <cacheField name="STT" numFmtId="0">
      <sharedItems containsSemiMixedTypes="0" containsString="0" containsNumber="1" containsInteger="1" minValue="1" maxValue="201"/>
    </cacheField>
    <cacheField name="TVBH" numFmtId="0">
      <sharedItems/>
    </cacheField>
    <cacheField name="Tên khách hàng" numFmtId="0">
      <sharedItems containsMixedTypes="1" containsNumber="1" containsInteger="1" minValue="0" maxValue="0"/>
    </cacheField>
    <cacheField name="Loại xe" numFmtId="0">
      <sharedItems/>
    </cacheField>
    <cacheField name="Số khung" numFmtId="0">
      <sharedItems/>
    </cacheField>
    <cacheField name="SR" numFmtId="0">
      <sharedItems count="6">
        <s v="SALA"/>
        <s v="QUANG TRUNG"/>
        <s v="LONG AN"/>
        <s v="BẾN LỨC"/>
        <s v="THỦ ĐỨC"/>
        <s v="LONG AN " u="1"/>
      </sharedItems>
    </cacheField>
    <cacheField name="Mã BP" numFmtId="0">
      <sharedItems/>
    </cacheField>
    <cacheField name="Code" numFmtId="0">
      <sharedItems/>
    </cacheField>
    <cacheField name="Số lượng" numFmtId="0">
      <sharedItems containsSemiMixedTypes="0" containsString="0" containsNumber="1" containsInteger="1" minValue="1" maxValue="1"/>
    </cacheField>
    <cacheField name="Giá niêm yết" numFmtId="166">
      <sharedItems containsMixedTypes="1" containsNumber="1" containsInteger="1" minValue="269000000" maxValue="1699000000"/>
    </cacheField>
    <cacheField name="MLTTV" numFmtId="166">
      <sharedItems containsMixedTypes="1" containsNumber="1" containsInteger="1" minValue="0" maxValue="56340000"/>
    </cacheField>
    <cacheField name="MLTTV " numFmtId="166">
      <sharedItems containsSemiMixedTypes="0" containsString="0" containsNumber="1" containsInteger="1" minValue="0" maxValue="169900000"/>
    </cacheField>
    <cacheField name="Hỗ trợ ls" numFmtId="9">
      <sharedItems containsSemiMixedTypes="0" containsString="0" containsNumber="1" minValue="0" maxValue="7.0000000000000007E-2"/>
    </cacheField>
    <cacheField name="Vinclub" numFmtId="169">
      <sharedItems containsString="0" containsBlank="1" containsNumber="1" minValue="0" maxValue="1.4999999999999999E-2"/>
    </cacheField>
    <cacheField name="Thu xăng" numFmtId="166">
      <sharedItems containsSemiMixedTypes="0" containsString="0" containsNumber="1" containsInteger="1" minValue="0" maxValue="50970000"/>
    </cacheField>
    <cacheField name="CBCNV/LLVT" numFmtId="9">
      <sharedItems containsSemiMixedTypes="0" containsString="0" containsNumber="1" minValue="0" maxValue="0.05"/>
    </cacheField>
    <cacheField name="VF giảm thêm (ko gồm GTD)" numFmtId="166">
      <sharedItems containsSemiMixedTypes="0" containsString="0" containsNumber="1" containsInteger="1" minValue="0" maxValue="50000000"/>
    </cacheField>
    <cacheField name="VFX giảm" numFmtId="166">
      <sharedItems containsMixedTypes="1" containsNumber="1" containsInteger="1" minValue="0" maxValue="25000000"/>
    </cacheField>
    <cacheField name="Giá xuất hoá đơn" numFmtId="166">
      <sharedItems containsMixedTypes="1" containsNumber="1" minValue="224418181.81818181" maxValue="1343754545.4545453"/>
    </cacheField>
    <cacheField name="Chênh lệch" numFmtId="166">
      <sharedItems containsMixedTypes="1" containsNumber="1" minValue="-0.54545462131500244" maxValue="677536363.63636363"/>
    </cacheField>
    <cacheField name="Doanh thu" numFmtId="171">
      <sharedItems containsSemiMixedTypes="0" containsString="0" containsNumber="1" containsInteger="1" minValue="0" maxValue="1343754545"/>
    </cacheField>
    <cacheField name="Điều chỉnh DT" numFmtId="0">
      <sharedItems containsSemiMixedTypes="0" containsString="0" containsNumber="1" containsInteger="1" minValue="0" maxValue="10909091"/>
    </cacheField>
    <cacheField name="Giá vốn" numFmtId="171">
      <sharedItems containsSemiMixedTypes="0" containsString="0" containsNumber="1" containsInteger="1" minValue="-1451872727" maxValue="0"/>
    </cacheField>
    <cacheField name="CKNM" numFmtId="166">
      <sharedItems containsSemiMixedTypes="0" containsString="0" containsNumber="1" minValue="0" maxValue="209252545.45454544"/>
    </cacheField>
    <cacheField name="Mở mới" numFmtId="166">
      <sharedItems containsSemiMixedTypes="0" containsString="0" containsNumber="1" minValue="0" maxValue="26875090.909090906"/>
    </cacheField>
    <cacheField name="Lương năng suất" numFmtId="166">
      <sharedItems containsSemiMixedTypes="0" containsString="0" containsNumber="1" minValue="-72000000" maxValue="800000"/>
    </cacheField>
    <cacheField name="Chi phí BH" numFmtId="49">
      <sharedItems/>
    </cacheField>
    <cacheField name="Chi phí phụ kiện" numFmtId="49">
      <sharedItems/>
    </cacheField>
    <cacheField name="Lợi nhuận còn lại" numFmtId="171">
      <sharedItems containsSemiMixedTypes="0" containsString="0" containsNumber="1" minValue="-31109091" maxValue="55104090.909090906"/>
    </cacheField>
    <cacheField name="Cọc tiên phong" numFmtId="166">
      <sharedItems containsSemiMixedTypes="0" containsString="0" containsNumber="1" containsInteger="1" minValue="0" maxValue="15000000"/>
    </cacheField>
    <cacheField name="Qui đổi tiền mặt" numFmtId="166">
      <sharedItems containsSemiMixedTypes="0" containsString="0" containsNumber="1" containsInteger="1" minValue="0" maxValue="25000000"/>
    </cacheField>
    <cacheField name="Giờ trái đất" numFmtId="166">
      <sharedItems containsMixedTypes="1" containsNumber="1" containsInteger="1" minValue="0" maxValue="20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01">
  <r>
    <n v="1"/>
    <s v="VÕ VĂN KIÊN"/>
    <s v="HOÀNG ANH VŨ"/>
    <s v="VF6"/>
    <s v="RLLVAG8C8TH712424"/>
    <x v="0"/>
    <s v="SLKD"/>
    <s v="S11006"/>
    <n v="1"/>
    <n v="745000000"/>
    <n v="44700000"/>
    <n v="0"/>
    <n v="0"/>
    <n v="0"/>
    <n v="0"/>
    <n v="0"/>
    <n v="0"/>
    <n v="5000000"/>
    <n v="632090909.090909"/>
    <n v="9.0909004211425781E-2"/>
    <n v="632090909"/>
    <n v="0"/>
    <n v="-651927272"/>
    <n v="39010909.090909086"/>
    <n v="6366363.6363636358"/>
    <n v="-12000000"/>
    <s v=""/>
    <s v=""/>
    <n v="13540909.727272723"/>
    <n v="0"/>
    <n v="0"/>
    <n v="10000000"/>
  </r>
  <r>
    <n v="2"/>
    <s v="TỪ NỮ BÉ MI"/>
    <s v="HUỲNH HOÀNG CHÂU"/>
    <s v="VF9"/>
    <s v="RLLV2CVA6SH843519"/>
    <x v="0"/>
    <s v="SLKD"/>
    <s v="S11001"/>
    <n v="1"/>
    <n v="1499000000"/>
    <n v="0"/>
    <n v="149900000"/>
    <n v="0"/>
    <n v="0"/>
    <n v="44970000"/>
    <n v="0"/>
    <n v="50000000"/>
    <n v="25000000"/>
    <n v="1117390909.090909"/>
    <n v="9.0909004211425781E-2"/>
    <n v="1117390909"/>
    <n v="0"/>
    <n v="-1280963636"/>
    <n v="209252545.45454544"/>
    <n v="0"/>
    <n v="-37600000"/>
    <s v=""/>
    <s v=""/>
    <n v="8079818.4545454383"/>
    <n v="0"/>
    <n v="0"/>
    <n v="0"/>
  </r>
  <r>
    <n v="3"/>
    <s v="NGUYỄN TRỌNG HƯNG"/>
    <s v="NGUYỄN VIỆT HÙNG"/>
    <s v="VF3"/>
    <s v="RLNVBL9K1ST716572"/>
    <x v="1"/>
    <s v="QTKD"/>
    <s v="S11007"/>
    <n v="1"/>
    <n v="310000000"/>
    <n v="18600000"/>
    <n v="0"/>
    <n v="0"/>
    <n v="0"/>
    <n v="0"/>
    <n v="0"/>
    <n v="18000000"/>
    <n v="0"/>
    <n v="248545454.54545453"/>
    <n v="-0.45454546809196472"/>
    <n v="248545455"/>
    <n v="0"/>
    <n v="-270545455"/>
    <n v="31941818.18181818"/>
    <n v="2485454.5454545454"/>
    <n v="-6400000"/>
    <s v=""/>
    <s v=""/>
    <n v="6027272.7272727247"/>
    <n v="0"/>
    <n v="0"/>
    <n v="0"/>
  </r>
  <r>
    <n v="4"/>
    <s v="LÊ MINH ĐỨC"/>
    <s v="HUỲNH MINH HẢI"/>
    <s v="VF5"/>
    <s v="RLNV5JSE4TH713606"/>
    <x v="2"/>
    <s v="LAKD"/>
    <s v="S11001"/>
    <n v="1"/>
    <n v="537000000"/>
    <n v="0"/>
    <n v="0"/>
    <n v="7.0000000000000007E-2"/>
    <n v="0"/>
    <n v="0"/>
    <n v="0"/>
    <n v="0"/>
    <n v="0"/>
    <n v="488181818.18181813"/>
    <n v="0.18181812763214111"/>
    <n v="488181818"/>
    <n v="0"/>
    <n v="-468654545"/>
    <n v="0"/>
    <n v="0"/>
    <n v="-9600000"/>
    <s v="TẶNG"/>
    <s v=""/>
    <n v="9927273"/>
    <n v="0"/>
    <n v="0"/>
    <n v="7000000"/>
  </r>
  <r>
    <n v="5"/>
    <s v="Trần Anh Hoàng"/>
    <s v="BÙI NHỰT THƠ"/>
    <s v="VF 6"/>
    <s v="RLLVAG8C4TH732735"/>
    <x v="2"/>
    <s v="LAKD"/>
    <s v="S11001"/>
    <n v="1"/>
    <n v="745000000"/>
    <n v="44700000"/>
    <n v="0"/>
    <n v="0"/>
    <n v="0"/>
    <n v="0"/>
    <n v="0"/>
    <n v="0"/>
    <n v="0"/>
    <n v="636636363.63636363"/>
    <n v="-0.36363637447357178"/>
    <n v="636636364"/>
    <n v="0"/>
    <n v="-650181818"/>
    <n v="39010909.090909086"/>
    <n v="0"/>
    <n v="-16000000"/>
    <s v=""/>
    <s v=""/>
    <n v="9465455.0909090862"/>
    <n v="0"/>
    <n v="0"/>
    <n v="10000000"/>
  </r>
  <r>
    <n v="6"/>
    <s v="PHẠM THỊ KIM DUNG"/>
    <s v="NGUYỄN THỊ KIỀU LOAN"/>
    <s v="VF 6"/>
    <s v="RLLVAG8CXTH719133"/>
    <x v="0"/>
    <s v="SLKD"/>
    <s v="S11006"/>
    <n v="1"/>
    <n v="745000000"/>
    <n v="44700000"/>
    <n v="0"/>
    <n v="0"/>
    <n v="0.01"/>
    <n v="0"/>
    <n v="0"/>
    <n v="0"/>
    <n v="9000000"/>
    <n v="622179090.90909088"/>
    <n v="-9.0909123420715332E-2"/>
    <n v="622179091"/>
    <n v="0"/>
    <n v="-650181818"/>
    <n v="45035345.454545453"/>
    <n v="6303609.0909090908"/>
    <n v="-8800000"/>
    <s v=""/>
    <s v=""/>
    <n v="14536227.545454543"/>
    <n v="0"/>
    <n v="0"/>
    <n v="10000000"/>
  </r>
  <r>
    <n v="7"/>
    <s v="HUỲNH QUỐC HUY"/>
    <s v="DƯƠNG THỂ PHƯỢNG"/>
    <s v="VF5"/>
    <s v="RLNV5JSE2TH732400"/>
    <x v="0"/>
    <s v="SLKD"/>
    <s v="S11007"/>
    <n v="1"/>
    <n v="529000000"/>
    <n v="31740000"/>
    <n v="0"/>
    <n v="0"/>
    <n v="0"/>
    <n v="15870000"/>
    <n v="0"/>
    <n v="0"/>
    <n v="7000000"/>
    <n v="431263636.36363631"/>
    <n v="0.363636314868927"/>
    <n v="431263636"/>
    <n v="0"/>
    <n v="-461672727"/>
    <n v="41550545.454545453"/>
    <n v="4376272.7272727266"/>
    <n v="-7200000"/>
    <s v=""/>
    <s v=""/>
    <n v="8317727.1818181798"/>
    <n v="0"/>
    <n v="0"/>
    <n v="0"/>
  </r>
  <r>
    <n v="8"/>
    <s v="BÙI XUÂN MINH"/>
    <s v="NGUYỄN THỊ THANH HẰNG"/>
    <s v="VF3"/>
    <s v="RLNVBL9K9ST709725"/>
    <x v="0"/>
    <s v="SLKD"/>
    <s v="S11008"/>
    <n v="1"/>
    <n v="310000000"/>
    <n v="18600000"/>
    <n v="0"/>
    <n v="0"/>
    <n v="0.01"/>
    <n v="9300000"/>
    <n v="0"/>
    <n v="18000000"/>
    <n v="7000000"/>
    <n v="231326363.63636363"/>
    <n v="-0.36363637447357178"/>
    <n v="231326364"/>
    <n v="0"/>
    <n v="-273363636"/>
    <n v="45181236.36363636"/>
    <n v="0"/>
    <n v="-800000"/>
    <s v=""/>
    <s v=""/>
    <n v="2343964.3636363596"/>
    <n v="0"/>
    <n v="0"/>
    <n v="0"/>
  </r>
  <r>
    <n v="9"/>
    <s v="BÙI XUÂN MINH"/>
    <s v="CÔNG TY CỔ PHẦN CÔNG NGHỆ HƯNG THÀNH ĐẠT"/>
    <s v="ECVAN"/>
    <s v="RNXVGRPK3TT702498"/>
    <x v="0"/>
    <s v="SLKD"/>
    <s v="S11007"/>
    <n v="1"/>
    <n v="305000000"/>
    <n v="18300000"/>
    <n v="0"/>
    <n v="0"/>
    <n v="0"/>
    <n v="0"/>
    <n v="0"/>
    <n v="0"/>
    <n v="3500000"/>
    <n v="257454545.45454544"/>
    <n v="0.45454543828964233"/>
    <n v="257454545"/>
    <n v="0"/>
    <n v="-266181818"/>
    <n v="15970909.09090909"/>
    <n v="2606363.6363636362"/>
    <n v="-3200000"/>
    <s v=""/>
    <s v=""/>
    <n v="6649999.7272727266"/>
    <n v="0"/>
    <n v="0"/>
    <n v="5000000"/>
  </r>
  <r>
    <n v="10"/>
    <s v="LÊ MINH SANG"/>
    <s v="PHAN QUỐC DUY"/>
    <s v="VF 5"/>
    <s v="RLNV5JSE6TH714191"/>
    <x v="0"/>
    <s v="SLKD"/>
    <s v="S11006"/>
    <n v="1"/>
    <n v="529000000"/>
    <n v="0"/>
    <n v="0"/>
    <n v="7.0000000000000007E-2"/>
    <n v="0"/>
    <n v="15870000"/>
    <n v="0"/>
    <n v="0"/>
    <n v="7000000"/>
    <n v="460118181.81818175"/>
    <n v="-0.18181824684143066"/>
    <n v="460118182"/>
    <n v="0"/>
    <n v="-461672727"/>
    <n v="13850181.818181816"/>
    <n v="4664818.1818181816"/>
    <n v="-7200000"/>
    <s v=""/>
    <s v=""/>
    <n v="9760455"/>
    <n v="0"/>
    <n v="0"/>
    <n v="0"/>
  </r>
  <r>
    <n v="11"/>
    <s v="Nguyễn Hữu Thanh Tú"/>
    <s v="PHẠM NGUYỄN THANH LIÊM"/>
    <s v="VF8"/>
    <s v="RLLV1AUA2TH997462"/>
    <x v="3"/>
    <s v="BLKD"/>
    <s v="S11006"/>
    <n v="1"/>
    <n v="1211000000"/>
    <n v="0"/>
    <n v="121100000"/>
    <n v="0"/>
    <n v="0"/>
    <n v="0"/>
    <n v="0.05"/>
    <n v="0"/>
    <n v="0"/>
    <n v="935772727.27272725"/>
    <n v="0.27272725105285645"/>
    <n v="935772727"/>
    <n v="0"/>
    <n v="-1040359091"/>
    <n v="128531136.36363636"/>
    <n v="18715454.545454543"/>
    <n v="-10800000"/>
    <s v=""/>
    <s v=""/>
    <n v="31860226.909090906"/>
    <n v="0"/>
    <n v="0"/>
    <n v="0"/>
  </r>
  <r>
    <n v="12"/>
    <s v="Hoàng Ngọc Tú"/>
    <s v="VÕ LÊ NGÂN"/>
    <s v="MINIO GREEN"/>
    <s v="RLNVMNMS7ST700177"/>
    <x v="3"/>
    <s v="BLKD"/>
    <s v="S11006"/>
    <n v="1"/>
    <n v="269000000"/>
    <n v="16140000"/>
    <n v="0"/>
    <n v="0"/>
    <n v="0"/>
    <n v="0"/>
    <n v="0"/>
    <n v="6000000"/>
    <n v="0"/>
    <n v="224418181.81818181"/>
    <n v="-0.18181818723678589"/>
    <n v="224418182"/>
    <n v="0"/>
    <n v="-234763636"/>
    <n v="19322181.818181816"/>
    <n v="2244181.8181818179"/>
    <n v="-5200000"/>
    <s v=""/>
    <s v=""/>
    <n v="6020909.6363636348"/>
    <n v="0"/>
    <n v="0"/>
    <n v="5000000"/>
  </r>
  <r>
    <n v="13"/>
    <s v="Bùi Văn Quốc Trí"/>
    <s v="CÔNG TY TNHH PEACE - LON VIETNAM"/>
    <s v="MPV 7"/>
    <s v="RLLVFPTT0TH733714"/>
    <x v="3"/>
    <s v="BLKD"/>
    <s v="S11001"/>
    <n v="1"/>
    <n v="819000000"/>
    <n v="49140000"/>
    <n v="0"/>
    <n v="0"/>
    <n v="0"/>
    <n v="0"/>
    <n v="0"/>
    <n v="0"/>
    <n v="0"/>
    <n v="699872727.27272725"/>
    <n v="0.27272725105285645"/>
    <n v="699872727"/>
    <n v="0"/>
    <n v="-714763636"/>
    <n v="42885818.18181818"/>
    <n v="0"/>
    <n v="-16000000"/>
    <s v=""/>
    <s v=""/>
    <n v="11994909.18181818"/>
    <n v="15000000"/>
    <n v="0"/>
    <n v="0"/>
  </r>
  <r>
    <n v="14"/>
    <s v="Bùi Minh Trung"/>
    <s v="TRƯƠNG MINH KHANG"/>
    <s v="VF3"/>
    <s v="RLNVBL9K4TT707902"/>
    <x v="3"/>
    <s v="BLKD"/>
    <s v="S11006"/>
    <n v="1"/>
    <n v="302000000"/>
    <n v="18120000"/>
    <n v="0"/>
    <n v="0"/>
    <n v="0"/>
    <n v="0"/>
    <n v="0"/>
    <n v="0"/>
    <n v="0"/>
    <n v="258072727.27272725"/>
    <n v="0.27272725105285645"/>
    <n v="258072727"/>
    <n v="0"/>
    <n v="-263563636"/>
    <n v="15813818.18181818"/>
    <n v="2580727.2727272725"/>
    <n v="-4800000"/>
    <s v=""/>
    <s v=""/>
    <n v="8103636.4545454532"/>
    <n v="0"/>
    <n v="0"/>
    <n v="0"/>
  </r>
  <r>
    <n v="15"/>
    <s v="Trương Hoàng Khả"/>
    <s v="TÔ VĂN PHONG"/>
    <s v="LIMO GREEN"/>
    <s v="RLLVFPNT5TH707865"/>
    <x v="3"/>
    <s v="BLKD"/>
    <s v="S11006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6400545.4545454541"/>
    <n v="-7200000"/>
    <s v="TẶNG"/>
    <s v=""/>
    <n v="13893637.090909086"/>
    <n v="0"/>
    <n v="0"/>
    <n v="10000000"/>
  </r>
  <r>
    <n v="16"/>
    <s v="Bùi Duy Luân"/>
    <s v="Phan Thị Ngọc Ánh"/>
    <s v="VF3"/>
    <s v="RLNVBL9K2TT711527"/>
    <x v="4"/>
    <s v="Q9KD"/>
    <s v="S11007"/>
    <n v="1"/>
    <n v="315000000"/>
    <n v="18900000"/>
    <n v="0"/>
    <n v="0"/>
    <n v="0"/>
    <n v="9450000"/>
    <n v="0"/>
    <n v="0"/>
    <n v="0"/>
    <n v="260590909.09090906"/>
    <n v="9.0909063816070557E-2"/>
    <n v="260590909"/>
    <n v="0"/>
    <n v="-274909091"/>
    <n v="24741818.18181818"/>
    <n v="2605909.0909090908"/>
    <n v="-5100000"/>
    <s v=""/>
    <s v=""/>
    <n v="7929545.2727272697"/>
    <n v="0"/>
    <n v="0"/>
    <n v="0"/>
  </r>
  <r>
    <n v="17"/>
    <s v="Phạm Nguyễn Viết Khánh"/>
    <s v="Nguyễn Dương Nhật Trường"/>
    <s v="VF6"/>
    <s v="RLLVAG8C9TH736604"/>
    <x v="4"/>
    <s v="Q9KD"/>
    <s v="S11007"/>
    <n v="1"/>
    <n v="745000000"/>
    <n v="0"/>
    <n v="0"/>
    <n v="7.0000000000000007E-2"/>
    <n v="0"/>
    <n v="0"/>
    <n v="0"/>
    <n v="0"/>
    <n v="10000000"/>
    <n v="668181818.18181813"/>
    <n v="0.18181812763214111"/>
    <n v="668181818"/>
    <n v="0"/>
    <n v="-650181818"/>
    <n v="0"/>
    <n v="6772727.2727272725"/>
    <n v="-6000000"/>
    <s v=""/>
    <s v=""/>
    <n v="18772727.272727273"/>
    <n v="0"/>
    <n v="0"/>
    <n v="0"/>
  </r>
  <r>
    <n v="18"/>
    <s v="Bùi Duy Luân"/>
    <s v="Lý Thanh Hoàng"/>
    <s v="Limo"/>
    <s v="RLLVFPNT3TH707749"/>
    <x v="4"/>
    <s v="Q9KD"/>
    <s v="S11007"/>
    <n v="1"/>
    <n v="749000000"/>
    <n v="44940000"/>
    <n v="0"/>
    <n v="0"/>
    <n v="0"/>
    <n v="22470000"/>
    <n v="0"/>
    <n v="0"/>
    <n v="2000000"/>
    <n v="617809090.90909088"/>
    <n v="-9.0909123420715332E-2"/>
    <n v="617809091"/>
    <n v="0"/>
    <n v="-653672727"/>
    <n v="58830545.454545453"/>
    <n v="6196272.7272727266"/>
    <n v="-16600000"/>
    <s v=""/>
    <s v=""/>
    <n v="12563182.18181818"/>
    <n v="0"/>
    <n v="0"/>
    <n v="0"/>
  </r>
  <r>
    <n v="19"/>
    <s v="Vũ Đức Danh"/>
    <s v="Ngô Tiến Hoàng"/>
    <s v="VF3"/>
    <s v="RLNVBL9K1ST717561"/>
    <x v="4"/>
    <s v="Q9KD"/>
    <s v="S11007"/>
    <n v="1"/>
    <n v="310000000"/>
    <n v="18600000"/>
    <n v="0"/>
    <n v="0"/>
    <n v="0"/>
    <n v="0"/>
    <n v="0"/>
    <n v="18000000"/>
    <n v="4000000"/>
    <n v="244909090.90909088"/>
    <n v="-9.0909123420715332E-2"/>
    <n v="244909091"/>
    <n v="0"/>
    <n v="-270545455"/>
    <n v="31941818.18181818"/>
    <n v="2485454.5454545454"/>
    <n v="-3200000"/>
    <s v=""/>
    <s v=""/>
    <n v="5590908.7272727247"/>
    <n v="0"/>
    <n v="0"/>
    <n v="0"/>
  </r>
  <r>
    <n v="20"/>
    <s v="Vũ Thị Thanh Tuyền"/>
    <s v="Nguyễn Thanh Long"/>
    <s v="VF3"/>
    <s v="RLNVBL9K9TT711878"/>
    <x v="4"/>
    <s v="Q9KD"/>
    <s v="S11007"/>
    <n v="1"/>
    <n v="315000000"/>
    <n v="18900000"/>
    <n v="0"/>
    <n v="0"/>
    <n v="0"/>
    <n v="9450000"/>
    <n v="0"/>
    <n v="0"/>
    <n v="1000000"/>
    <n v="259681818.18181816"/>
    <n v="0.1818181574344635"/>
    <n v="259681818"/>
    <n v="0"/>
    <n v="-274909091"/>
    <n v="24741818.18181818"/>
    <n v="2605909.0909090908"/>
    <n v="-4500000"/>
    <s v=""/>
    <s v=""/>
    <n v="7620454.2727272697"/>
    <n v="0"/>
    <n v="0"/>
    <n v="0"/>
  </r>
  <r>
    <n v="21"/>
    <s v="Vũ Đức Danh"/>
    <s v="Vũ Anh Quang"/>
    <s v="VF7"/>
    <s v="RLLV3F5D6TH714321"/>
    <x v="4"/>
    <s v="Q9KD"/>
    <s v="S11007"/>
    <n v="1"/>
    <n v="811000000"/>
    <n v="48660000"/>
    <n v="0"/>
    <n v="0"/>
    <n v="0"/>
    <n v="0"/>
    <n v="0"/>
    <n v="0"/>
    <n v="15000000"/>
    <n v="679400000"/>
    <n v="0"/>
    <n v="679400000"/>
    <n v="0"/>
    <n v="-704095455"/>
    <n v="42245727.272727266"/>
    <n v="6930363.6363636358"/>
    <n v="-10400000"/>
    <s v=""/>
    <s v=""/>
    <n v="14080635.909090903"/>
    <n v="0"/>
    <n v="0"/>
    <n v="0"/>
  </r>
  <r>
    <n v="22"/>
    <s v="ĐOÀN VĂN CƯƠNG"/>
    <s v="HOÀNG CẨM THƠ"/>
    <s v="MPV 7"/>
    <s v="RLLVFPTT1TH722897"/>
    <x v="0"/>
    <s v="SLKD"/>
    <s v="S11001"/>
    <n v="1"/>
    <n v="819000000"/>
    <n v="0"/>
    <n v="0"/>
    <n v="7.0000000000000007E-2"/>
    <n v="0"/>
    <n v="0"/>
    <n v="0"/>
    <n v="0"/>
    <n v="0"/>
    <n v="744545454.5454545"/>
    <n v="-0.45454549789428711"/>
    <n v="744545455"/>
    <n v="0"/>
    <n v="-714763636"/>
    <n v="0"/>
    <n v="0"/>
    <n v="-16000000"/>
    <s v=""/>
    <s v=""/>
    <n v="13781819"/>
    <n v="0"/>
    <n v="15000000"/>
    <n v="0"/>
  </r>
  <r>
    <n v="23"/>
    <s v="Trần Anh Vũ"/>
    <s v="NGUYỄN HỮU ANH TIẾN"/>
    <s v="VF3"/>
    <s v="RLNVBL9K9ST706159"/>
    <x v="3"/>
    <s v="BLKD"/>
    <s v="S11006"/>
    <n v="1"/>
    <n v="299000000"/>
    <n v="17940000"/>
    <n v="0"/>
    <n v="0"/>
    <n v="0"/>
    <n v="0"/>
    <n v="0"/>
    <n v="13000000"/>
    <n v="0"/>
    <n v="243690909.09090906"/>
    <n v="9.0909063816070557E-2"/>
    <n v="243690909"/>
    <n v="0"/>
    <n v="-263663636"/>
    <n v="29720363.636363633"/>
    <n v="2436909.0909090908"/>
    <n v="-4800000"/>
    <s v=""/>
    <s v=""/>
    <n v="7384545.7272727229"/>
    <n v="0"/>
    <n v="0"/>
    <n v="0"/>
  </r>
  <r>
    <n v="24"/>
    <s v="Lê Ngọc Đức"/>
    <s v="TRẦN TRUNG HIẾU"/>
    <s v="VF 5"/>
    <s v="RLNV5JSEXTH736419"/>
    <x v="2"/>
    <s v="LAKD"/>
    <s v="S11001"/>
    <n v="1"/>
    <n v="529000000"/>
    <n v="31740000"/>
    <n v="0"/>
    <n v="0"/>
    <n v="0"/>
    <n v="0"/>
    <n v="0"/>
    <n v="0"/>
    <n v="10000000"/>
    <n v="442963636.36363631"/>
    <n v="0.363636314868927"/>
    <n v="442963636"/>
    <n v="0"/>
    <n v="-461672727"/>
    <n v="27700363.636363633"/>
    <n v="0"/>
    <n v="-3600000"/>
    <s v=""/>
    <s v=""/>
    <n v="5391272.636363633"/>
    <n v="0"/>
    <n v="0"/>
    <n v="0"/>
  </r>
  <r>
    <n v="25"/>
    <s v="Nguyễn Hoàng Trọng Khang"/>
    <s v="VÕ TRẦN LĨNH"/>
    <s v="VF 3"/>
    <s v="RLNVBL9K3TT711956"/>
    <x v="2"/>
    <s v="LAKD"/>
    <s v="S11001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0"/>
    <n v="-6800000"/>
    <s v="TẶNG"/>
    <s v=""/>
    <n v="3967272.4545454532"/>
    <n v="0"/>
    <n v="0"/>
    <n v="0"/>
  </r>
  <r>
    <n v="26"/>
    <s v="NGUYỄN VĂN VĨNH"/>
    <s v="NGUYỄN NGOC HUY"/>
    <s v="LIMOGREEN"/>
    <s v="RLLVFPNT4TH703161"/>
    <x v="0"/>
    <s v="SLKD"/>
    <s v="S11007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6400545.4545454541"/>
    <n v="-8600000"/>
    <s v=""/>
    <s v=""/>
    <n v="12493637.090909086"/>
    <n v="0"/>
    <n v="0"/>
    <n v="0"/>
  </r>
  <r>
    <n v="27"/>
    <s v="VÕ VĂN KIÊN"/>
    <s v="NGUYỄN THANH TUẤN"/>
    <s v="VF 6"/>
    <s v="RLLVAG8CXTH737325"/>
    <x v="0"/>
    <s v="SLKD"/>
    <s v="S11007"/>
    <n v="1"/>
    <n v="745000000"/>
    <n v="44700000"/>
    <n v="0"/>
    <n v="0"/>
    <n v="0"/>
    <n v="0"/>
    <n v="0"/>
    <n v="0"/>
    <n v="5000000"/>
    <n v="632090909.090909"/>
    <n v="9.0909004211425781E-2"/>
    <n v="632090909"/>
    <n v="0"/>
    <n v="-650181818"/>
    <n v="39010909.090909086"/>
    <n v="6366363.6363636358"/>
    <n v="-12000000"/>
    <s v=""/>
    <s v=""/>
    <n v="15286363.727272723"/>
    <n v="0"/>
    <n v="0"/>
    <n v="10000000"/>
  </r>
  <r>
    <n v="28"/>
    <s v="NGUYỄN VĂN VĨNH "/>
    <s v="VÒNG NGỌC UYÊN"/>
    <s v="LIMOGREEN"/>
    <s v="RLLVFPNTXTH743647"/>
    <x v="0"/>
    <s v="SLKD"/>
    <s v="S11007"/>
    <n v="1"/>
    <n v="749000000"/>
    <n v="44940000"/>
    <n v="0"/>
    <n v="0"/>
    <n v="0"/>
    <n v="0"/>
    <n v="0"/>
    <n v="0"/>
    <n v="8000000"/>
    <n v="632781818.18181813"/>
    <n v="0.18181812763214111"/>
    <n v="632781818"/>
    <n v="0"/>
    <n v="-653672727"/>
    <n v="39220363.636363633"/>
    <n v="6400545.4545454541"/>
    <n v="-11800000"/>
    <s v=""/>
    <s v=""/>
    <n v="12930000.090909086"/>
    <n v="0"/>
    <n v="0"/>
    <n v="0"/>
  </r>
  <r>
    <n v="29"/>
    <s v="LÊ HOÀNG ANH"/>
    <s v="CÔNG TY TNHH XNK GIAO NHẠN VẬN TẢI QUỐC BẢO"/>
    <s v="VF 5"/>
    <s v="RLNV5JSEXTH735738"/>
    <x v="0"/>
    <s v="SLKD"/>
    <s v="S11007"/>
    <n v="1"/>
    <n v="529000000"/>
    <n v="31740000"/>
    <n v="0"/>
    <n v="0"/>
    <n v="0"/>
    <n v="0"/>
    <n v="0"/>
    <n v="0"/>
    <n v="0"/>
    <n v="452054545.45454544"/>
    <n v="0.45454543828964233"/>
    <n v="452054545"/>
    <n v="0"/>
    <n v="-461672727"/>
    <n v="27700363.636363633"/>
    <n v="4520545.4545454541"/>
    <n v="-11889268.644600404"/>
    <s v=""/>
    <s v=""/>
    <n v="10713458.446308682"/>
    <n v="0"/>
    <n v="0"/>
    <n v="7000000"/>
  </r>
  <r>
    <n v="30"/>
    <s v="Lê Ngọc Đức"/>
    <s v="NGUYỄN THỊ HỒNG XUYẾN"/>
    <s v="VF 3"/>
    <s v="RLNVBL9KXST716957"/>
    <x v="2"/>
    <s v="LAKD"/>
    <s v="S11008"/>
    <n v="1"/>
    <n v="310000000"/>
    <n v="18600000"/>
    <n v="0"/>
    <n v="0"/>
    <n v="0"/>
    <n v="9300000"/>
    <n v="0"/>
    <n v="18000000"/>
    <n v="4100000"/>
    <n v="236363636.36363634"/>
    <n v="0.36363634467124939"/>
    <n v="236363636"/>
    <n v="0"/>
    <n v="-270545455"/>
    <n v="40058181.818181813"/>
    <n v="0"/>
    <n v="-3120000"/>
    <s v=""/>
    <s v=""/>
    <n v="2756362.8181818128"/>
    <n v="0"/>
    <n v="0"/>
    <n v="0"/>
  </r>
  <r>
    <n v="31"/>
    <s v="Trần Minh Hiếu"/>
    <s v="PHAN THANH SƠN"/>
    <s v="VF 3"/>
    <s v="RLNVBL9K5TT712767"/>
    <x v="2"/>
    <s v="LAKD"/>
    <s v="S11001"/>
    <n v="1"/>
    <n v="302000000"/>
    <n v="18120000"/>
    <n v="0"/>
    <n v="0"/>
    <n v="0"/>
    <n v="0"/>
    <n v="0"/>
    <n v="0"/>
    <n v="0"/>
    <n v="258072727.27272725"/>
    <n v="0.27272725105285645"/>
    <n v="258072727"/>
    <n v="0"/>
    <n v="-263563636"/>
    <n v="15813818.18181818"/>
    <n v="0"/>
    <n v="-4800000"/>
    <s v="TẶNG"/>
    <s v=""/>
    <n v="5522909.1818181798"/>
    <n v="0"/>
    <n v="0"/>
    <n v="0"/>
  </r>
  <r>
    <n v="32"/>
    <s v="Lê Ngọc Toàn"/>
    <s v="GIANG VĂN LUÂN"/>
    <s v="MPV 7"/>
    <s v="RLLVFPTT4TH724210"/>
    <x v="2"/>
    <s v="LAKD"/>
    <s v="S11001"/>
    <n v="1"/>
    <n v="819000000"/>
    <n v="49140000"/>
    <n v="0"/>
    <n v="0"/>
    <n v="0"/>
    <n v="24570000"/>
    <n v="0"/>
    <n v="0"/>
    <n v="0"/>
    <n v="677536363.63636363"/>
    <n v="-0.36363637447357178"/>
    <n v="677536364"/>
    <n v="0"/>
    <n v="-714763636"/>
    <n v="64328727.272727266"/>
    <n v="0"/>
    <n v="-15742880.661648395"/>
    <s v="TẶNG"/>
    <s v="TẶNG"/>
    <n v="11358574.611078871"/>
    <n v="0"/>
    <n v="15000000"/>
    <n v="0"/>
  </r>
  <r>
    <n v="33"/>
    <s v="Trần Minh Hiếu"/>
    <s v="HÀ PHÚ SANG"/>
    <s v="VF 6"/>
    <s v="RLLVAG8C6TH736561"/>
    <x v="2"/>
    <s v="LAKD"/>
    <s v="S11001"/>
    <n v="1"/>
    <n v="745000000"/>
    <n v="44700000"/>
    <n v="0"/>
    <n v="0"/>
    <n v="1.4999999999999999E-2"/>
    <n v="22350000"/>
    <n v="0"/>
    <n v="0"/>
    <n v="10000000"/>
    <n v="597982500"/>
    <n v="0"/>
    <n v="597982500"/>
    <n v="0"/>
    <n v="-650181818"/>
    <n v="67391345.454545453"/>
    <n v="0"/>
    <n v="-6000000"/>
    <s v="TẶNG"/>
    <s v=""/>
    <n v="9192027.4545454532"/>
    <n v="0"/>
    <n v="0"/>
    <n v="0"/>
  </r>
  <r>
    <n v="34"/>
    <s v="Phạm Anh Kiệt"/>
    <s v="NGUYỄN DUY THUẦN"/>
    <s v="VF 3"/>
    <s v="RLNVBL9K3ST715634"/>
    <x v="2"/>
    <s v="LAKD"/>
    <s v="S11001"/>
    <n v="1"/>
    <n v="310000000"/>
    <n v="18600000"/>
    <n v="0"/>
    <n v="0"/>
    <n v="0"/>
    <n v="9300000"/>
    <n v="0"/>
    <n v="18000000"/>
    <n v="0"/>
    <n v="240090909.09090906"/>
    <n v="9.0909063816070557E-2"/>
    <n v="240090909"/>
    <n v="0"/>
    <n v="-270545455"/>
    <n v="40058181.818181813"/>
    <n v="0"/>
    <n v="-8000000"/>
    <s v=""/>
    <s v=""/>
    <n v="1603635.8181818128"/>
    <n v="0"/>
    <n v="0"/>
    <n v="0"/>
  </r>
  <r>
    <n v="35"/>
    <s v="Nguyễn Hoàng Trọng Khang"/>
    <s v="TRÂN THỊ THU HƯỜNG"/>
    <s v="VF 3"/>
    <s v="RLNVBL9K1TT701426"/>
    <x v="2"/>
    <s v="LAKD"/>
    <s v="S11001"/>
    <n v="1"/>
    <n v="302000000"/>
    <n v="18120000"/>
    <n v="0"/>
    <n v="0"/>
    <n v="0"/>
    <n v="0"/>
    <n v="0"/>
    <n v="0"/>
    <n v="0"/>
    <n v="258072727.27272725"/>
    <n v="0.27272725105285645"/>
    <n v="258072727"/>
    <n v="0"/>
    <n v="-263563636"/>
    <n v="15813818.18181818"/>
    <n v="0"/>
    <n v="-4800000"/>
    <s v=""/>
    <s v=""/>
    <n v="5522909.1818181798"/>
    <n v="0"/>
    <n v="0"/>
    <n v="0"/>
  </r>
  <r>
    <n v="36"/>
    <s v="TRIỆU NGUYỄN TÚ HÀO"/>
    <s v="ĐỖ VIẾT VŨ"/>
    <s v="Limo"/>
    <s v="RLLVFPNTXTH742384"/>
    <x v="1"/>
    <s v="QTKD"/>
    <s v="S11007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6400545.4545454541"/>
    <n v="-5600000"/>
    <s v=""/>
    <s v=""/>
    <n v="15493637.090909086"/>
    <n v="0"/>
    <n v="0"/>
    <n v="10000000"/>
  </r>
  <r>
    <n v="37"/>
    <s v="TRẦN ĐẶNG ANH HUY"/>
    <s v="HUỲNH NGỌC BẢO"/>
    <s v="EC VAN"/>
    <s v="RNXVGRPK4TT712487"/>
    <x v="1"/>
    <s v="QTKD"/>
    <s v="S11007"/>
    <n v="1"/>
    <n v="305000000"/>
    <n v="18300000"/>
    <n v="0"/>
    <n v="0"/>
    <n v="0"/>
    <n v="0"/>
    <n v="0"/>
    <n v="0"/>
    <n v="0"/>
    <n v="260636363.63636363"/>
    <n v="0.63636362552642822"/>
    <n v="255181818"/>
    <n v="5454545"/>
    <n v="-266181818"/>
    <n v="15970909.09090909"/>
    <n v="2606363.6363636362"/>
    <n v="-4500000"/>
    <s v=""/>
    <s v=""/>
    <n v="8531817.7272727266"/>
    <n v="0"/>
    <n v="0"/>
    <n v="5000000"/>
  </r>
  <r>
    <n v="38"/>
    <s v="NGUYỄN HUỲNH DUY KHAN"/>
    <s v="NGUYỄN VĂN THANH"/>
    <s v="Limo"/>
    <s v="RLLVFPNT0TH720314"/>
    <x v="1"/>
    <s v="QTKD"/>
    <s v="S11007"/>
    <n v="1"/>
    <n v="749000000"/>
    <n v="44940000"/>
    <n v="0"/>
    <n v="0"/>
    <n v="0"/>
    <n v="0"/>
    <n v="0"/>
    <n v="0"/>
    <n v="0"/>
    <n v="640054545.45454538"/>
    <n v="-0.54545462131500244"/>
    <n v="629145455"/>
    <n v="10909091"/>
    <n v="-653672727"/>
    <n v="39220363.636363633"/>
    <n v="6400545.4545454541"/>
    <n v="-18200000"/>
    <s v=""/>
    <s v=""/>
    <n v="13802728.090909086"/>
    <n v="0"/>
    <n v="0"/>
    <n v="10000000"/>
  </r>
  <r>
    <n v="39"/>
    <s v="VŨ THỊ BÍCH HẰNG"/>
    <s v="NGUYỄN THANH NỮ TRÀ MY"/>
    <s v="VF 7"/>
    <s v="RLLV3F5D1SH888618"/>
    <x v="0"/>
    <s v="SLKD"/>
    <s v="S11001"/>
    <n v="1"/>
    <n v="799000000"/>
    <n v="47940000"/>
    <n v="0"/>
    <n v="0"/>
    <n v="0"/>
    <n v="23970000"/>
    <n v="0.05"/>
    <n v="20000000"/>
    <n v="5000000"/>
    <n v="601945454.5454545"/>
    <n v="-0.45454549789428711"/>
    <n v="601945455"/>
    <n v="0"/>
    <n v="-693677273"/>
    <n v="96319363.636363626"/>
    <n v="0"/>
    <n v="-7200000"/>
    <s v=""/>
    <s v=""/>
    <n v="-2612454.3636363745"/>
    <n v="0"/>
    <n v="0"/>
    <n v="0"/>
  </r>
  <r>
    <n v="40"/>
    <s v="TỪ NỮ BÉ MI"/>
    <s v="TRẦN THANH TÂN"/>
    <s v="VF 7"/>
    <s v="RLLV3FKC6TH742051"/>
    <x v="0"/>
    <s v="SLKD"/>
    <s v="S11007"/>
    <n v="1"/>
    <n v="889000000"/>
    <n v="53340000"/>
    <n v="0"/>
    <n v="0"/>
    <n v="0"/>
    <n v="0"/>
    <n v="0.05"/>
    <n v="0"/>
    <n v="0"/>
    <n v="719281818.18181813"/>
    <n v="0.18181812763214111"/>
    <n v="719281818"/>
    <n v="0"/>
    <n v="-771813636"/>
    <n v="64694954.545454539"/>
    <n v="7192818.1818181816"/>
    <n v="-11200000"/>
    <s v=""/>
    <s v=""/>
    <n v="8155954.7272727191"/>
    <n v="0"/>
    <n v="0"/>
    <n v="0"/>
  </r>
  <r>
    <n v="41"/>
    <s v="TRẦN ANH HOÀNG"/>
    <s v="TRẦN ANH HOÀNG"/>
    <s v="MPV7"/>
    <s v="RLLVFPTT1TH733771"/>
    <x v="2"/>
    <s v="LAKD"/>
    <s v="S11006"/>
    <n v="1"/>
    <n v="819000000"/>
    <n v="49140000"/>
    <n v="0"/>
    <n v="0"/>
    <n v="0"/>
    <n v="0"/>
    <n v="0.03"/>
    <n v="0"/>
    <n v="10000000"/>
    <n v="668445454.5454545"/>
    <n v="-0.45454549789428711"/>
    <n v="668445455"/>
    <n v="0"/>
    <n v="-714763636"/>
    <n v="53160545.454545453"/>
    <n v="0"/>
    <n v="0"/>
    <s v=""/>
    <s v=""/>
    <n v="6842364.4545454532"/>
    <n v="0"/>
    <n v="15000000"/>
    <n v="0"/>
  </r>
  <r>
    <n v="42"/>
    <s v="Cao Văn Công"/>
    <s v="Nguyễn Thị Diễm Mi"/>
    <s v="VF5"/>
    <s v="RLNV5JSE1TH739581"/>
    <x v="4"/>
    <s v="Q9KD"/>
    <s v="S11007"/>
    <n v="1"/>
    <n v="529000000"/>
    <n v="31740000"/>
    <n v="0"/>
    <n v="0"/>
    <n v="5.0000000000000001E-3"/>
    <n v="15870000"/>
    <n v="0"/>
    <n v="0"/>
    <n v="0"/>
    <n v="435470954.5454545"/>
    <n v="-0.45454549789428711"/>
    <n v="435470955"/>
    <n v="0"/>
    <n v="-461672727"/>
    <n v="43620610.909090906"/>
    <n v="4354709.5454545449"/>
    <n v="-16000000"/>
    <s v=""/>
    <s v=""/>
    <n v="5773548.4545454532"/>
    <n v="0"/>
    <n v="0"/>
    <n v="7000000"/>
  </r>
  <r>
    <n v="43"/>
    <s v="Phạm Nguyễn Hằng Ni"/>
    <s v="Đỗ Thị Hương"/>
    <s v="Limo"/>
    <s v="RLLVFPNT8SH874882"/>
    <x v="4"/>
    <s v="Q9KD"/>
    <s v="S11006"/>
    <n v="1"/>
    <n v="749000000"/>
    <n v="0"/>
    <n v="0"/>
    <n v="7.0000000000000007E-2"/>
    <n v="0"/>
    <n v="22470000"/>
    <n v="0"/>
    <n v="15000000"/>
    <n v="8000000"/>
    <n v="639572727.27272725"/>
    <n v="0.27272725105285645"/>
    <n v="639572727"/>
    <n v="0"/>
    <n v="-660481818"/>
    <n v="39510181.818181813"/>
    <n v="6468454.5454545449"/>
    <n v="-8600000"/>
    <s v=""/>
    <s v=""/>
    <n v="16469545.36363636"/>
    <n v="0"/>
    <n v="0"/>
    <n v="10000000"/>
  </r>
  <r>
    <n v="44"/>
    <s v="Nguyễn Thị Phương Anh"/>
    <s v="Nguyễn Văn Năm"/>
    <s v="VF3"/>
    <s v="RLNVBL9K3ST715763"/>
    <x v="4"/>
    <s v="Q9KD"/>
    <s v="S11008"/>
    <n v="1"/>
    <n v="310000000"/>
    <n v="18600000"/>
    <n v="0"/>
    <n v="0"/>
    <n v="0"/>
    <n v="0"/>
    <n v="0"/>
    <n v="18000000"/>
    <n v="0"/>
    <n v="248545454.54545453"/>
    <n v="-0.45454546809196472"/>
    <n v="248545455"/>
    <n v="0"/>
    <n v="-270545455"/>
    <n v="31941818.18181818"/>
    <n v="0"/>
    <n v="-6400000"/>
    <s v=""/>
    <s v=""/>
    <n v="3541818.1818181798"/>
    <n v="0"/>
    <n v="0"/>
    <n v="0"/>
  </r>
  <r>
    <n v="45"/>
    <s v="Bùi Duy Luân"/>
    <s v="Trương Hoàng Danh"/>
    <s v="EC VAN"/>
    <s v="RNXVGRPK6TT702527"/>
    <x v="4"/>
    <s v="Q9KD"/>
    <s v="S11007"/>
    <n v="1"/>
    <n v="305000000"/>
    <n v="0"/>
    <n v="0"/>
    <n v="7.0000000000000007E-2"/>
    <n v="0"/>
    <n v="9150000"/>
    <n v="0"/>
    <n v="0"/>
    <n v="0"/>
    <n v="268954545.45454544"/>
    <n v="0.45454543828964233"/>
    <n v="268954545"/>
    <n v="0"/>
    <n v="-266181818"/>
    <n v="7985454.5454545449"/>
    <n v="2689545.4545454541"/>
    <n v="-6000000"/>
    <s v=""/>
    <s v=""/>
    <n v="7447727"/>
    <n v="0"/>
    <n v="0"/>
    <n v="0"/>
  </r>
  <r>
    <n v="46"/>
    <s v="Vũ Đức Danh"/>
    <s v="Nguyễn Trần Khánh"/>
    <s v="VF5"/>
    <s v="RLNV5JSE6TH736286"/>
    <x v="4"/>
    <s v="Q9KD"/>
    <s v="S11007"/>
    <n v="1"/>
    <n v="529000000"/>
    <n v="31740000"/>
    <n v="0"/>
    <n v="0"/>
    <n v="0"/>
    <n v="0"/>
    <n v="0"/>
    <n v="0"/>
    <n v="10000000"/>
    <n v="442963636.36363631"/>
    <n v="0.363636314868927"/>
    <n v="442963636"/>
    <n v="0"/>
    <n v="-461672727"/>
    <n v="27700363.636363633"/>
    <n v="4520545.4545454541"/>
    <n v="-4800000"/>
    <s v=""/>
    <s v=""/>
    <n v="8711818.0909090862"/>
    <n v="0"/>
    <n v="0"/>
    <n v="7000000"/>
  </r>
  <r>
    <n v="47"/>
    <s v="Phạm Hoàng Long"/>
    <s v="Trịnh Kim Thôi"/>
    <s v="Limo"/>
    <s v="RLLVFPNTXTH701821"/>
    <x v="4"/>
    <s v="Q9KD"/>
    <s v="S11007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6400545.4545454541"/>
    <n v="-8600000"/>
    <s v=""/>
    <s v=""/>
    <n v="12493637.090909086"/>
    <n v="0"/>
    <n v="0"/>
    <n v="0"/>
  </r>
  <r>
    <n v="48"/>
    <s v="Nguyễn Trần Quốc Duy"/>
    <s v="Võ Thị Cẩm Vân"/>
    <s v="MPV7"/>
    <s v="RLLVFPTT4TH731965"/>
    <x v="4"/>
    <s v="Q9KD"/>
    <s v="S11007"/>
    <n v="1"/>
    <n v="819000000"/>
    <n v="49140000"/>
    <n v="0"/>
    <n v="0"/>
    <n v="0"/>
    <n v="24570000"/>
    <n v="0"/>
    <n v="0"/>
    <n v="0"/>
    <n v="677536363.63636363"/>
    <n v="-0.36363637447357178"/>
    <n v="677536364"/>
    <n v="0"/>
    <n v="-714763636"/>
    <n v="64328727.272727266"/>
    <n v="6775363.6363636358"/>
    <n v="-16000000"/>
    <s v=""/>
    <s v=""/>
    <n v="17876818.909090899"/>
    <n v="0"/>
    <n v="15000000"/>
    <n v="0"/>
  </r>
  <r>
    <n v="49"/>
    <s v="Nguyễn Minh Trí"/>
    <s v="Nguyễn Xuân Thủy"/>
    <s v="Limo"/>
    <s v="RLLVFPNT4TH742347"/>
    <x v="4"/>
    <s v="Q9KD"/>
    <s v="S11007"/>
    <n v="1"/>
    <n v="749000000"/>
    <n v="44940000"/>
    <n v="0"/>
    <n v="0"/>
    <n v="0"/>
    <n v="0"/>
    <n v="0"/>
    <n v="0"/>
    <n v="0"/>
    <n v="640054545.45454538"/>
    <n v="0.45454537868499756"/>
    <n v="640054545"/>
    <n v="0"/>
    <n v="-653672727"/>
    <n v="39220363.636363633"/>
    <n v="6400545.4545454541"/>
    <n v="-15200000"/>
    <s v=""/>
    <s v=""/>
    <n v="16802727.090909086"/>
    <n v="0"/>
    <n v="0"/>
    <n v="0"/>
  </r>
  <r>
    <n v="50"/>
    <s v="Vũ Đức Danh"/>
    <s v="Nguyễn Đăng Khoa"/>
    <s v="VF3"/>
    <s v="RLNVBL9K2TT711981"/>
    <x v="4"/>
    <s v="Q9KD"/>
    <s v="S11007"/>
    <n v="1"/>
    <n v="315000000"/>
    <n v="18900000"/>
    <n v="0"/>
    <n v="0"/>
    <n v="0"/>
    <n v="0"/>
    <n v="0"/>
    <n v="0"/>
    <n v="3000000"/>
    <n v="266454545.45454544"/>
    <n v="0.45454543828964233"/>
    <n v="266454545"/>
    <n v="0"/>
    <n v="-274909091"/>
    <n v="16494545.454545453"/>
    <n v="2691818.1818181816"/>
    <n v="-4400000"/>
    <s v=""/>
    <s v=""/>
    <n v="6331817.6363636348"/>
    <n v="0"/>
    <n v="0"/>
    <n v="0"/>
  </r>
  <r>
    <n v="51"/>
    <s v="Vũ Đức Danh"/>
    <s v="Vũ Thanh Minh"/>
    <s v="VF3"/>
    <s v="RLNVBL9KXTT708326"/>
    <x v="4"/>
    <s v="Q9KD"/>
    <s v="S11007"/>
    <n v="1"/>
    <n v="302000000"/>
    <n v="18120000"/>
    <n v="0"/>
    <n v="0"/>
    <n v="0"/>
    <n v="0"/>
    <n v="0"/>
    <n v="0"/>
    <n v="0"/>
    <n v="258072727.27272725"/>
    <n v="0.27272725105285645"/>
    <n v="258072727"/>
    <n v="0"/>
    <n v="-263563636"/>
    <n v="15813818.18181818"/>
    <n v="2580727.2727272725"/>
    <n v="-6400000"/>
    <s v=""/>
    <s v=""/>
    <n v="6503636.4545454532"/>
    <n v="0"/>
    <n v="0"/>
    <n v="0"/>
  </r>
  <r>
    <n v="52"/>
    <s v="Phạm Huy Cường"/>
    <s v="Nguyễn Ngọc Giáp"/>
    <s v="VF5"/>
    <s v="RLNV5JSEXTH735951"/>
    <x v="4"/>
    <s v="Q9KD"/>
    <s v="S11007"/>
    <n v="1"/>
    <n v="529000000"/>
    <n v="31740000"/>
    <n v="0"/>
    <n v="0"/>
    <n v="0"/>
    <n v="0"/>
    <n v="0.05"/>
    <n v="0"/>
    <n v="0"/>
    <n v="428009090.90909088"/>
    <n v="-9.0909123420715332E-2"/>
    <n v="428009091"/>
    <n v="0"/>
    <n v="-461672727"/>
    <n v="38761272.727272727"/>
    <n v="4280090.9090909092"/>
    <n v="-6400000"/>
    <s v=""/>
    <s v=""/>
    <n v="2977727.6363636367"/>
    <n v="0"/>
    <n v="0"/>
    <n v="0"/>
  </r>
  <r>
    <n v="53"/>
    <s v="Võ Thành Nhân"/>
    <s v="Hoàng Tiến Bình"/>
    <s v="Limo"/>
    <s v="RLLVFPNT7TH713005"/>
    <x v="4"/>
    <s v="Q9KD"/>
    <s v="S11007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6400545.4545454541"/>
    <n v="-8600000"/>
    <s v=""/>
    <s v=""/>
    <n v="12493637.090909086"/>
    <n v="0"/>
    <n v="0"/>
    <n v="0"/>
  </r>
  <r>
    <n v="54"/>
    <s v="Phạm Nguyễn Viết Khánh"/>
    <s v="Nguyễn Thị Bích Thủy"/>
    <s v="VF3"/>
    <s v="RLNVBL9K8TT710186"/>
    <x v="4"/>
    <s v="Q9KD"/>
    <s v="S11007"/>
    <n v="1"/>
    <n v="315000000"/>
    <n v="18900000"/>
    <n v="0"/>
    <n v="0"/>
    <n v="0"/>
    <n v="0"/>
    <n v="0"/>
    <n v="0"/>
    <n v="6000000"/>
    <n v="263727272.72727272"/>
    <n v="-0.27272728085517883"/>
    <n v="263727273"/>
    <n v="0"/>
    <n v="-274909091"/>
    <n v="16494545.454545453"/>
    <n v="2691818.1818181816"/>
    <n v="-1500000"/>
    <s v=""/>
    <s v=""/>
    <n v="6504545.6363636348"/>
    <n v="0"/>
    <n v="0"/>
    <n v="0"/>
  </r>
  <r>
    <n v="55"/>
    <s v="Nguyễn Văn Bình"/>
    <s v="Nguyễn Thúy Hồng Nguyên"/>
    <s v="VF3"/>
    <s v="RLNVBL9K9TT713372"/>
    <x v="4"/>
    <s v="Q9KD"/>
    <s v="S11007"/>
    <n v="1"/>
    <n v="315000000"/>
    <n v="18900000"/>
    <n v="0"/>
    <n v="0"/>
    <n v="0"/>
    <n v="0"/>
    <n v="0"/>
    <n v="0"/>
    <n v="6000000"/>
    <n v="263727272.72727272"/>
    <n v="-0.27272728085517883"/>
    <n v="263727273"/>
    <n v="0"/>
    <n v="-274909091"/>
    <n v="16494545.454545453"/>
    <n v="2691818.1818181816"/>
    <n v="-2000000"/>
    <s v=""/>
    <s v=""/>
    <n v="6004545.6363636348"/>
    <n v="0"/>
    <n v="0"/>
    <n v="0"/>
  </r>
  <r>
    <n v="56"/>
    <s v="Phạm Hoàng Long"/>
    <s v="Nguyễn Ngọc Phượng"/>
    <s v="Limo"/>
    <s v="RLLVFPNT3TH742839"/>
    <x v="4"/>
    <s v="Q9KD"/>
    <s v="S11007"/>
    <n v="1"/>
    <n v="749000000"/>
    <n v="44940000"/>
    <n v="0"/>
    <n v="0"/>
    <n v="0"/>
    <n v="22470000"/>
    <n v="0"/>
    <n v="0"/>
    <n v="0"/>
    <n v="619627272.72727263"/>
    <n v="-0.272727370262146"/>
    <n v="619627273"/>
    <n v="0"/>
    <n v="-653672727"/>
    <n v="58830545.454545453"/>
    <n v="6196272.7272727266"/>
    <n v="-15200000"/>
    <s v=""/>
    <s v=""/>
    <n v="15781364.18181818"/>
    <n v="0"/>
    <n v="0"/>
    <n v="0"/>
  </r>
  <r>
    <n v="57"/>
    <s v="Vòng Tạt Lình"/>
    <s v="Nguyễn Duy Ngọc Quỳnh"/>
    <s v="Limo"/>
    <s v="RLLVFPNT7TH712291"/>
    <x v="4"/>
    <s v="Q9KD"/>
    <s v="S11007"/>
    <n v="1"/>
    <n v="749000000"/>
    <n v="44940000"/>
    <n v="0"/>
    <n v="0"/>
    <n v="0"/>
    <n v="0"/>
    <n v="0"/>
    <n v="0"/>
    <n v="10000000"/>
    <n v="630963636.36363626"/>
    <n v="0.36363625526428223"/>
    <n v="630963636"/>
    <n v="0"/>
    <n v="-653672727"/>
    <n v="39220363.636363633"/>
    <n v="6400545.4545454541"/>
    <n v="-10200000"/>
    <s v=""/>
    <s v=""/>
    <n v="12711818.090909086"/>
    <n v="0"/>
    <n v="0"/>
    <n v="0"/>
  </r>
  <r>
    <n v="58"/>
    <s v="Nguyễn Trần Quốc Duy"/>
    <s v="Phạm Thị Thanh Vân"/>
    <s v="Limo"/>
    <s v="RLLVFPNT2TH747241"/>
    <x v="4"/>
    <s v="Q9KD"/>
    <s v="S11007"/>
    <n v="1"/>
    <n v="749000000"/>
    <n v="44940000"/>
    <n v="0"/>
    <n v="0"/>
    <n v="0"/>
    <n v="0"/>
    <n v="0"/>
    <n v="0"/>
    <n v="3000000"/>
    <n v="637327272.72727263"/>
    <n v="-0.272727370262146"/>
    <n v="637327273"/>
    <n v="0"/>
    <n v="-653672727"/>
    <n v="39220363.636363633"/>
    <n v="6400545.4545454541"/>
    <n v="-9600000"/>
    <s v=""/>
    <s v=""/>
    <n v="19675455.090909086"/>
    <n v="0"/>
    <n v="0"/>
    <n v="0"/>
  </r>
  <r>
    <n v="59"/>
    <s v="Phạm Hoàng Long"/>
    <s v="Công ty Cổ Phần Phân Phối Sản Phẩm Công Nghệ Cao Dầu Khí"/>
    <s v="VF3"/>
    <s v="RLNVBL9K3TT711875"/>
    <x v="4"/>
    <s v="Q9KD"/>
    <s v="S11007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2691818.1818181816"/>
    <n v="-6800000"/>
    <s v=""/>
    <s v=""/>
    <n v="6659090.6363636348"/>
    <n v="0"/>
    <n v="0"/>
    <n v="0"/>
  </r>
  <r>
    <n v="60"/>
    <s v="Phạm Hoàng Long"/>
    <s v="Công ty Cổ Phần Phân Phối Sản Phẩm Công Nghệ Cao Dầu Khí"/>
    <s v="VF3"/>
    <s v="RLNVBL9K2TT709020"/>
    <x v="4"/>
    <s v="Q9KD"/>
    <s v="S11007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2691818.1818181816"/>
    <n v="-6800000"/>
    <s v=""/>
    <s v=""/>
    <n v="6659090.6363636348"/>
    <n v="0"/>
    <n v="0"/>
    <n v="0"/>
  </r>
  <r>
    <n v="61"/>
    <s v="Phạm Hoàng Long"/>
    <s v="Công ty Cổ Phần Phân Phối Sản Phẩm Công Nghệ Cao Dầu Khí"/>
    <s v="VF3"/>
    <s v="RLNVBL9K1TT712118"/>
    <x v="4"/>
    <s v="Q9KD"/>
    <s v="S11007"/>
    <n v="1"/>
    <n v="323000000"/>
    <n v="19380000"/>
    <n v="0"/>
    <n v="0"/>
    <n v="0"/>
    <n v="0"/>
    <n v="0"/>
    <n v="0"/>
    <n v="0"/>
    <n v="276018181.81818181"/>
    <n v="-0.18181818723678589"/>
    <n v="276018182"/>
    <n v="0"/>
    <n v="-281890909"/>
    <n v="16913454.545454543"/>
    <n v="2760181.8181818179"/>
    <n v="-6800000"/>
    <s v=""/>
    <s v=""/>
    <n v="7000909.3636363614"/>
    <n v="0"/>
    <n v="0"/>
    <n v="0"/>
  </r>
  <r>
    <n v="62"/>
    <s v="Thạch Thị Ngọc Chuẩn"/>
    <s v="Lương Thị Hương"/>
    <s v="MPV7"/>
    <s v="RLLVFPTT8TH733752"/>
    <x v="4"/>
    <s v="Q9KD"/>
    <s v="S11007"/>
    <n v="1"/>
    <n v="819000000"/>
    <n v="49140000"/>
    <n v="0"/>
    <n v="0"/>
    <n v="0"/>
    <n v="24570000"/>
    <n v="0.05"/>
    <n v="0"/>
    <n v="0"/>
    <n v="640309090.90909088"/>
    <n v="-9.0909123420715332E-2"/>
    <n v="640309091"/>
    <n v="0"/>
    <n v="-714763636"/>
    <n v="81453272.727272719"/>
    <n v="6403090.9090909082"/>
    <n v="-8000000"/>
    <s v=""/>
    <s v=""/>
    <n v="5401818.6363636274"/>
    <n v="0"/>
    <n v="0"/>
    <n v="0"/>
  </r>
  <r>
    <n v="63"/>
    <s v="Trịnh Trung Tín"/>
    <s v="BẠCH THỊ TUYẾT"/>
    <s v="VF 5"/>
    <s v="RLNV5JSE7TH736376"/>
    <x v="2"/>
    <s v="LAKD"/>
    <s v="S11001"/>
    <n v="1"/>
    <n v="529000000"/>
    <n v="31740000"/>
    <n v="0"/>
    <n v="0"/>
    <n v="0"/>
    <n v="15870000"/>
    <n v="0"/>
    <n v="0"/>
    <n v="0"/>
    <n v="437627272.72727269"/>
    <n v="-0.27272731065750122"/>
    <n v="437627273"/>
    <n v="0"/>
    <n v="-461672727"/>
    <n v="41550545.454545453"/>
    <n v="0"/>
    <n v="-9600000"/>
    <s v="TẶNG"/>
    <s v=""/>
    <n v="7905091.4545454532"/>
    <n v="0"/>
    <n v="0"/>
    <n v="7000000"/>
  </r>
  <r>
    <n v="64"/>
    <s v="Lê Ngọc Toàn"/>
    <s v="ĐỖ MINH THÀNH"/>
    <s v="VF 3"/>
    <s v="RLNVBL9K3ST715648"/>
    <x v="2"/>
    <s v="LAKD"/>
    <s v="S11001"/>
    <n v="1"/>
    <n v="310000000"/>
    <n v="18600000"/>
    <n v="0"/>
    <n v="0"/>
    <n v="0"/>
    <n v="9300000"/>
    <n v="0"/>
    <n v="18000000"/>
    <n v="0"/>
    <n v="240090909.09090906"/>
    <n v="9.0909063816070557E-2"/>
    <n v="240090909"/>
    <n v="0"/>
    <n v="-270545455"/>
    <n v="40058181.818181813"/>
    <n v="0"/>
    <n v="-6400000"/>
    <s v=""/>
    <s v=""/>
    <n v="3203635.8181818128"/>
    <n v="0"/>
    <n v="0"/>
    <n v="0"/>
  </r>
  <r>
    <n v="65"/>
    <s v="CHÂU PHẠM THÀNH ĐẠT"/>
    <s v="HỒ KIM LONG SƠN"/>
    <s v="VF 3"/>
    <s v="RLNVBL9K5TT713711"/>
    <x v="0"/>
    <s v="SLKD"/>
    <s v="S11006"/>
    <n v="1"/>
    <n v="315000000"/>
    <n v="18900000"/>
    <n v="0"/>
    <n v="0"/>
    <n v="0"/>
    <n v="0"/>
    <n v="0"/>
    <n v="0"/>
    <n v="6000000"/>
    <n v="263727272.72727272"/>
    <n v="-0.27272728085517883"/>
    <n v="263727273"/>
    <n v="0"/>
    <n v="-274909091"/>
    <n v="16494545.454545453"/>
    <n v="2691818.1818181816"/>
    <n v="-2000000"/>
    <s v=""/>
    <s v=""/>
    <n v="6004545.6363636348"/>
    <n v="0"/>
    <n v="0"/>
    <n v="0"/>
  </r>
  <r>
    <n v="66"/>
    <s v="Trịnh Trung Tín"/>
    <s v="NGUYỄN THỊ TRÚC GIANG"/>
    <s v="VF 3"/>
    <s v="RLNVBL9K8TT713430"/>
    <x v="2"/>
    <s v="LAKD"/>
    <s v="S11001"/>
    <n v="1"/>
    <n v="315000000"/>
    <n v="18900000"/>
    <n v="0"/>
    <n v="0"/>
    <n v="0"/>
    <n v="9450000"/>
    <n v="0.05"/>
    <n v="0"/>
    <n v="0"/>
    <n v="246272727.27272725"/>
    <n v="0.27272725105285645"/>
    <n v="246272727"/>
    <n v="0"/>
    <n v="-274909091"/>
    <n v="31328181.818181816"/>
    <n v="0"/>
    <n v="-3400000"/>
    <s v="TẶNG"/>
    <s v=""/>
    <n v="-708182.18181818351"/>
    <n v="0"/>
    <n v="0"/>
    <n v="0"/>
  </r>
  <r>
    <n v="67"/>
    <s v="HUỲNH THANH TÀI"/>
    <s v="NGUYỄN TẤN THI"/>
    <s v="Limo"/>
    <s v="RLLVFPNT4TH711292"/>
    <x v="1"/>
    <s v="QTKD"/>
    <s v="S11007"/>
    <n v="1"/>
    <n v="749000000"/>
    <n v="44940000"/>
    <n v="0"/>
    <n v="0"/>
    <n v="0"/>
    <n v="0"/>
    <n v="0"/>
    <n v="0"/>
    <n v="0"/>
    <n v="640054545.45454538"/>
    <n v="0.45454537868499756"/>
    <n v="640054545"/>
    <n v="0"/>
    <n v="-653672727"/>
    <n v="39220363.636363633"/>
    <n v="6400545.4545454541"/>
    <n v="-18200000"/>
    <s v=""/>
    <s v=""/>
    <n v="13802727.090909086"/>
    <n v="0"/>
    <n v="0"/>
    <n v="0"/>
  </r>
  <r>
    <n v="68"/>
    <s v="PHÙNG BÁ AN"/>
    <s v="ĐÀO THỊ TUYẾN"/>
    <s v="Limo"/>
    <s v="RLLVFPNT6TH714839"/>
    <x v="1"/>
    <s v="QTKD"/>
    <s v="S11007"/>
    <n v="1"/>
    <n v="749000000"/>
    <n v="44940000"/>
    <n v="0"/>
    <n v="0"/>
    <n v="0"/>
    <n v="0"/>
    <n v="0"/>
    <n v="0"/>
    <n v="0"/>
    <n v="640054545.45454538"/>
    <n v="0.45454537868499756"/>
    <n v="640054545"/>
    <n v="0"/>
    <n v="-653672727"/>
    <n v="39220363.636363633"/>
    <n v="6400545.4545454541"/>
    <n v="-18200000"/>
    <s v=""/>
    <s v=""/>
    <n v="13802727.090909086"/>
    <n v="0"/>
    <n v="0"/>
    <n v="0"/>
  </r>
  <r>
    <n v="69"/>
    <s v="TRẦN ĐẶNG ANH HUY"/>
    <s v="NGUYỄN VĂN TRƯỜNG"/>
    <s v="VF3"/>
    <s v="RLNVBL9K4TT713277"/>
    <x v="1"/>
    <s v="QTKD"/>
    <s v="S11007"/>
    <n v="1"/>
    <n v="323000000"/>
    <n v="19380000"/>
    <n v="0"/>
    <n v="0"/>
    <n v="0"/>
    <n v="9690000"/>
    <n v="0"/>
    <n v="0"/>
    <n v="6000000"/>
    <n v="261754545.45454544"/>
    <n v="0.45454543828964233"/>
    <n v="261754545"/>
    <n v="0"/>
    <n v="-281890909"/>
    <n v="25370181.818181816"/>
    <n v="2672090.9090909087"/>
    <n v="-2000000"/>
    <s v=""/>
    <s v=""/>
    <n v="5905908.7272727247"/>
    <n v="0"/>
    <n v="5000000"/>
    <n v="5000000"/>
  </r>
  <r>
    <n v="70"/>
    <s v="PHẠM TRUNG KIÊN"/>
    <s v="TRẦN THỊ KIM THẢO"/>
    <s v="VF MPV 7"/>
    <s v="RLLVFPTT6TH732633"/>
    <x v="1"/>
    <s v="QTKD"/>
    <s v="S11006"/>
    <n v="1"/>
    <n v="819000000"/>
    <n v="49140000"/>
    <n v="0"/>
    <n v="0"/>
    <n v="0"/>
    <n v="0"/>
    <n v="0"/>
    <n v="0"/>
    <n v="15000000"/>
    <n v="686236363.63636363"/>
    <n v="-0.36363637447357178"/>
    <n v="686236364"/>
    <n v="0"/>
    <n v="-714763636"/>
    <n v="42885818.18181818"/>
    <n v="0"/>
    <n v="-3000000"/>
    <s v=""/>
    <s v=""/>
    <n v="11358546.18181818"/>
    <n v="0"/>
    <n v="15000000"/>
    <n v="0"/>
  </r>
  <r>
    <n v="71"/>
    <s v="HÀ DUY KHANG"/>
    <s v="NGUYỄN TƯỜNG VY"/>
    <s v="VF3"/>
    <s v="RLNVBL9K3TT714159"/>
    <x v="1"/>
    <s v="QTKD"/>
    <s v="S11007"/>
    <n v="1"/>
    <n v="302000000"/>
    <n v="0"/>
    <n v="0"/>
    <n v="7.0000000000000007E-2"/>
    <n v="5.0000000000000001E-3"/>
    <n v="0"/>
    <n v="0"/>
    <n v="0"/>
    <n v="4990000"/>
    <n v="268636363.63636363"/>
    <n v="-0.36363637447357178"/>
    <n v="268636364"/>
    <n v="0"/>
    <n v="-263563636"/>
    <n v="1317818.1818181816"/>
    <n v="2731727.2727272725"/>
    <n v="-1806000"/>
    <s v=""/>
    <s v=""/>
    <n v="7316273.4545454532"/>
    <n v="0"/>
    <n v="0"/>
    <n v="0"/>
  </r>
  <r>
    <n v="72"/>
    <s v="HUỲNH THANH TÀI"/>
    <s v="ĐỖ THỊ LAN CHI"/>
    <s v="VF MPV 7"/>
    <s v="RLLVFPTT6TH731935"/>
    <x v="1"/>
    <s v="QTKD"/>
    <s v="S11007"/>
    <n v="1"/>
    <n v="819000000"/>
    <n v="49140000"/>
    <n v="0"/>
    <n v="0"/>
    <n v="0"/>
    <n v="0"/>
    <n v="0"/>
    <n v="0"/>
    <n v="0"/>
    <n v="699872727.27272725"/>
    <n v="0.27272725105285645"/>
    <n v="699872727"/>
    <n v="0"/>
    <n v="-714763636"/>
    <n v="42885818.18181818"/>
    <n v="6998727.2727272725"/>
    <n v="-12000000"/>
    <s v=""/>
    <s v=""/>
    <n v="22993636.454545453"/>
    <n v="0"/>
    <n v="15000000"/>
    <n v="10000000"/>
  </r>
  <r>
    <n v="73"/>
    <s v="Phan Duy Đức"/>
    <s v="Trần Thị Thu Anh"/>
    <s v="Limo"/>
    <s v="RLLVFPNT1TH743021"/>
    <x v="4"/>
    <s v="Q9KD"/>
    <s v="S11007"/>
    <n v="1"/>
    <n v="749000000"/>
    <n v="44940000"/>
    <n v="0"/>
    <n v="0"/>
    <n v="0"/>
    <n v="0"/>
    <n v="0"/>
    <n v="0"/>
    <n v="10000000"/>
    <n v="630963636.36363626"/>
    <n v="0.36363625526428223"/>
    <n v="630963636"/>
    <n v="0"/>
    <n v="-653672727"/>
    <n v="39220363.636363633"/>
    <n v="6400545.4545454541"/>
    <n v="-7200000"/>
    <s v=""/>
    <s v=""/>
    <n v="15711818.090909086"/>
    <n v="0"/>
    <n v="0"/>
    <n v="0"/>
  </r>
  <r>
    <n v="74"/>
    <s v="Nguyễn Phương Linh"/>
    <s v="Điền Đức Nhật"/>
    <s v="VF3"/>
    <s v="RLNVBL9K7ST716429"/>
    <x v="4"/>
    <s v="Q9KD"/>
    <s v="S11007"/>
    <n v="1"/>
    <n v="310000000"/>
    <n v="18600000"/>
    <n v="0"/>
    <n v="0"/>
    <n v="0"/>
    <n v="9300000"/>
    <n v="0"/>
    <n v="18000000"/>
    <n v="0"/>
    <n v="240090909.09090906"/>
    <n v="9.0909063816070557E-2"/>
    <n v="240090909"/>
    <n v="0"/>
    <n v="-270545455"/>
    <n v="40058181.818181813"/>
    <n v="2400909.0909090908"/>
    <n v="-6400000"/>
    <s v=""/>
    <s v=""/>
    <n v="5604544.9090909027"/>
    <n v="0"/>
    <n v="0"/>
    <n v="0"/>
  </r>
  <r>
    <n v="75"/>
    <s v="Nguyễn Phương Linh"/>
    <s v="Nguyễn Thị Hồng Linh"/>
    <s v="VF7"/>
    <s v="RLLV3F5D3TH727463"/>
    <x v="4"/>
    <s v="Q9KD"/>
    <s v="S11007"/>
    <n v="1"/>
    <n v="799000000"/>
    <n v="47940000"/>
    <n v="0"/>
    <n v="0"/>
    <n v="0.01"/>
    <n v="0"/>
    <n v="0"/>
    <n v="0"/>
    <n v="5000000"/>
    <n v="671544909.090909"/>
    <n v="9.0909004211425781E-2"/>
    <n v="671544909"/>
    <n v="0"/>
    <n v="-693677273"/>
    <n v="48010975.454545453"/>
    <n v="6760903.6363636358"/>
    <n v="-18400000"/>
    <s v=""/>
    <s v=""/>
    <n v="14239515.09090909"/>
    <n v="0"/>
    <n v="0"/>
    <n v="15000000"/>
  </r>
  <r>
    <n v="76"/>
    <s v="Nguyễn Bá Thản"/>
    <s v="Lê Thị Mỹ Linh"/>
    <s v="VF6"/>
    <s v="RLLVAGND3TH707970"/>
    <x v="4"/>
    <s v="Q9KD"/>
    <s v="S11007"/>
    <n v="1"/>
    <n v="697000000"/>
    <n v="41820000"/>
    <n v="0"/>
    <n v="0"/>
    <n v="0"/>
    <n v="0"/>
    <n v="0.05"/>
    <n v="0"/>
    <n v="0"/>
    <n v="563936363.63636363"/>
    <n v="-0.36363637447357178"/>
    <n v="563936364"/>
    <n v="0"/>
    <n v="-608290909"/>
    <n v="51071090.909090906"/>
    <n v="5639363.6363636358"/>
    <n v="-8000000"/>
    <s v=""/>
    <s v=""/>
    <n v="4355909.5454545431"/>
    <n v="0"/>
    <n v="0"/>
    <n v="0"/>
  </r>
  <r>
    <n v="77"/>
    <s v="Nguyễn Trần Quốc Duy"/>
    <s v="Phạm Huy Quỳnh Giao"/>
    <s v="VF3"/>
    <s v="RLNVBL9K7TT712611"/>
    <x v="4"/>
    <s v="Q9KD"/>
    <s v="S11007"/>
    <n v="1"/>
    <n v="323000000"/>
    <n v="19380000"/>
    <n v="0"/>
    <n v="0"/>
    <n v="0"/>
    <n v="0"/>
    <n v="0"/>
    <n v="0"/>
    <n v="0"/>
    <n v="276018181.81818181"/>
    <n v="-0.18181818723678589"/>
    <n v="276018182"/>
    <n v="0"/>
    <n v="-281890909"/>
    <n v="16913454.545454543"/>
    <n v="2760181.8181818179"/>
    <n v="-5100000"/>
    <s v=""/>
    <s v=""/>
    <n v="8700909.3636363614"/>
    <n v="0"/>
    <n v="0"/>
    <n v="0"/>
  </r>
  <r>
    <n v="78"/>
    <s v="Cao Văn Công"/>
    <s v="Nguyễn Thị Minh Phương"/>
    <s v="VF6"/>
    <s v="RLLVAG8C6TH728220"/>
    <x v="4"/>
    <s v="Q9KD"/>
    <s v="S11007"/>
    <n v="1"/>
    <n v="745000000"/>
    <n v="44700000"/>
    <n v="0"/>
    <n v="0"/>
    <n v="0"/>
    <n v="0"/>
    <n v="0"/>
    <n v="0"/>
    <n v="0"/>
    <n v="636636363.63636363"/>
    <n v="-0.36363637447357178"/>
    <n v="636636364"/>
    <n v="0"/>
    <n v="-650181818"/>
    <n v="39010909.090909086"/>
    <n v="6366363.6363636358"/>
    <n v="-12000000"/>
    <s v=""/>
    <s v=""/>
    <n v="19831818.727272723"/>
    <n v="0"/>
    <n v="0"/>
    <n v="0"/>
  </r>
  <r>
    <n v="79"/>
    <s v="Phạm Nguyễn Viết Khánh"/>
    <s v="Công ty TNHH Thương Mại Dịch Vụ Link VN"/>
    <s v="VF3"/>
    <s v="RLNVBL9K1ST715437"/>
    <x v="4"/>
    <s v="Q9KD"/>
    <s v="S11006"/>
    <n v="1"/>
    <n v="310000000"/>
    <n v="18600000"/>
    <n v="0"/>
    <n v="0"/>
    <n v="0"/>
    <n v="0"/>
    <n v="0"/>
    <n v="18000000"/>
    <n v="0"/>
    <n v="248545454.54545453"/>
    <n v="-0.45454546809196472"/>
    <n v="248545455"/>
    <n v="0"/>
    <n v="-270545455"/>
    <n v="31941818.18181818"/>
    <n v="2485454.5454545454"/>
    <n v="-6340789.752973468"/>
    <s v=""/>
    <s v=""/>
    <n v="6086482.9742992567"/>
    <n v="0"/>
    <n v="0"/>
    <n v="0"/>
  </r>
  <r>
    <n v="80"/>
    <s v="Phạm Nguyễn Viết Khánh"/>
    <s v="Công ty TNHH Thương Mại Dịch Vụ Link VN"/>
    <s v="VF3"/>
    <s v="RLNVBL9KXST716134"/>
    <x v="4"/>
    <s v="Q9KD"/>
    <s v="S11007"/>
    <n v="1"/>
    <n v="310000000"/>
    <n v="18600000"/>
    <n v="0"/>
    <n v="0"/>
    <n v="0"/>
    <n v="0"/>
    <n v="0"/>
    <n v="18000000"/>
    <n v="0"/>
    <n v="248545454.54545453"/>
    <n v="-0.45454546809196472"/>
    <n v="248545455"/>
    <n v="0"/>
    <n v="-270545455"/>
    <n v="31941818.18181818"/>
    <n v="2485454.5454545454"/>
    <n v="-7940789.752973468"/>
    <s v=""/>
    <s v=""/>
    <n v="4486482.9742992567"/>
    <n v="0"/>
    <n v="0"/>
    <n v="0"/>
  </r>
  <r>
    <n v="81"/>
    <s v="Phạm Hoàng Long"/>
    <s v="Công ty TNHH TMDV Vận tải Kim Phát"/>
    <s v="VF6"/>
    <s v="RLLVAG8C9TH741687"/>
    <x v="4"/>
    <s v="Q9KD"/>
    <s v="S11007"/>
    <n v="1"/>
    <n v="745000000"/>
    <n v="44700000"/>
    <n v="0"/>
    <n v="0"/>
    <n v="0"/>
    <n v="0"/>
    <n v="0"/>
    <n v="0"/>
    <n v="10000000"/>
    <n v="627545454.5454545"/>
    <n v="-0.45454549789428711"/>
    <n v="627545455"/>
    <n v="0"/>
    <n v="-650181818"/>
    <n v="39010909.090909086"/>
    <n v="6366363.6363636358"/>
    <n v="-6000000"/>
    <s v=""/>
    <s v=""/>
    <n v="16740909.727272723"/>
    <n v="0"/>
    <n v="0"/>
    <n v="0"/>
  </r>
  <r>
    <n v="82"/>
    <s v="Nguyễn Trần Quốc Duy"/>
    <s v="Nguyễn Minh Nghĩa"/>
    <s v="VF5"/>
    <s v="RLNV5JSE3TH739565"/>
    <x v="4"/>
    <s v="Q9KD"/>
    <s v="S11007"/>
    <n v="1"/>
    <n v="529000000"/>
    <n v="31740000"/>
    <n v="0"/>
    <n v="0"/>
    <n v="0"/>
    <n v="0"/>
    <n v="0"/>
    <n v="0"/>
    <n v="0"/>
    <n v="452054545.45454544"/>
    <n v="0.45454543828964233"/>
    <n v="452054545"/>
    <n v="0"/>
    <n v="-461672727"/>
    <n v="27700363.636363633"/>
    <n v="4520545.4545454541"/>
    <n v="-12800000"/>
    <s v=""/>
    <s v=""/>
    <n v="9802727.0909090862"/>
    <n v="0"/>
    <n v="0"/>
    <n v="0"/>
  </r>
  <r>
    <n v="83"/>
    <s v="ĐOÀN VĂN CƯƠNG"/>
    <s v="CÔNG TY TNHH TIN HỌC MÁY CHỦ SIÊU RẺ"/>
    <s v="VF 9"/>
    <s v="RLLV2CFA5TH703199"/>
    <x v="0"/>
    <s v="SLKD"/>
    <s v="S11006"/>
    <n v="1"/>
    <n v="1699000000"/>
    <n v="0"/>
    <n v="169900000"/>
    <n v="0"/>
    <n v="0"/>
    <n v="50970000"/>
    <n v="0"/>
    <n v="0"/>
    <n v="0"/>
    <n v="1343754545.4545453"/>
    <n v="0.45454525947570801"/>
    <n v="1343754545"/>
    <n v="0"/>
    <n v="-1451872727"/>
    <n v="188743454.54545453"/>
    <n v="26875090.909090906"/>
    <n v="-72000000"/>
    <s v=""/>
    <s v=""/>
    <n v="35500363.454545438"/>
    <n v="0"/>
    <n v="0"/>
    <n v="0"/>
  </r>
  <r>
    <n v="84"/>
    <s v="PHAN THỊ DIỄM NGA "/>
    <s v="TRẦN THỊ THANH PHÚC"/>
    <s v="LIMOGREEN"/>
    <s v="RLLVFPNT1TH747327"/>
    <x v="0"/>
    <s v="SLKD"/>
    <s v="S11007"/>
    <n v="1"/>
    <n v="749000000"/>
    <n v="0"/>
    <n v="0"/>
    <n v="7.0000000000000007E-2"/>
    <n v="0"/>
    <n v="0"/>
    <n v="0"/>
    <n v="0"/>
    <n v="0"/>
    <n v="680909090.90909088"/>
    <n v="-9.0909123420715332E-2"/>
    <n v="680909091"/>
    <n v="0"/>
    <n v="-653672727"/>
    <n v="0"/>
    <n v="6809090.9090909082"/>
    <n v="-19000000"/>
    <s v=""/>
    <s v=""/>
    <n v="15045454.909090906"/>
    <n v="0"/>
    <n v="0"/>
    <n v="10000000"/>
  </r>
  <r>
    <n v="85"/>
    <s v="VŨ THỊ BÍCH HẰNG"/>
    <s v="NGUYỄN HOÀNG DIỆP"/>
    <s v="VF 3"/>
    <s v="RLNVBL9K5ST716185"/>
    <x v="0"/>
    <s v="SLKD"/>
    <s v="S11007"/>
    <n v="1"/>
    <n v="310000000"/>
    <n v="18600000"/>
    <n v="0"/>
    <n v="0"/>
    <n v="0"/>
    <n v="0"/>
    <n v="0"/>
    <n v="18000000"/>
    <n v="0"/>
    <n v="248545454.54545453"/>
    <n v="-0.45454546809196472"/>
    <n v="248545455"/>
    <n v="0"/>
    <n v="-270545455"/>
    <n v="31941818.18181818"/>
    <n v="2485454.5454545454"/>
    <n v="-8000000"/>
    <s v=""/>
    <s v=""/>
    <n v="4427272.7272727247"/>
    <n v="0"/>
    <n v="0"/>
    <n v="0"/>
  </r>
  <r>
    <n v="86"/>
    <s v="HUỲNH QUỐC HUY"/>
    <s v="HOÀNG DUY ANH"/>
    <s v="VF 3"/>
    <s v="RLNVBL9K9TT712951"/>
    <x v="0"/>
    <s v="SLKD"/>
    <s v="S11007"/>
    <n v="1"/>
    <n v="315000000"/>
    <n v="18900000"/>
    <n v="0"/>
    <n v="0"/>
    <n v="0"/>
    <n v="9450000"/>
    <n v="0"/>
    <n v="2500000"/>
    <n v="0"/>
    <n v="258318181.81818178"/>
    <n v="-0.18181821703910828"/>
    <n v="258318182"/>
    <n v="0"/>
    <n v="-274909091"/>
    <n v="26923636.363636363"/>
    <n v="2583181.8181818179"/>
    <n v="-6800000"/>
    <s v=""/>
    <s v=""/>
    <n v="6115909.1818181816"/>
    <n v="0"/>
    <n v="0"/>
    <n v="0"/>
  </r>
  <r>
    <n v="87"/>
    <s v="HUỲNH QUỐC HUY"/>
    <s v="PHÙNG ĐỨC VIỆT TÂM"/>
    <s v="VF 5"/>
    <s v="RLNV5JSE1SH895604"/>
    <x v="0"/>
    <s v="SLKD"/>
    <s v="S11007"/>
    <n v="1"/>
    <n v="529000000"/>
    <n v="31740000"/>
    <n v="0"/>
    <n v="0"/>
    <n v="5.0000000000000001E-3"/>
    <n v="15870000"/>
    <n v="0"/>
    <n v="15000000"/>
    <n v="6000000"/>
    <n v="416416409.09090906"/>
    <n v="45.090909063816071"/>
    <n v="416416364"/>
    <n v="0"/>
    <n v="-461672727"/>
    <n v="56676610.909090906"/>
    <n v="4218709.5454545449"/>
    <n v="-9600000"/>
    <s v=""/>
    <s v=""/>
    <n v="6038957.4545454513"/>
    <n v="0"/>
    <n v="0"/>
    <n v="0"/>
  </r>
  <r>
    <n v="88"/>
    <s v="CHÂU PHẠM THÀNH ĐẠT"/>
    <s v="HUỲNH QUỐC DŨNG "/>
    <s v="LIMOGREEN"/>
    <s v="RLLVFPNTXTH705173"/>
    <x v="0"/>
    <s v="SLKD"/>
    <s v="S11006"/>
    <n v="1"/>
    <n v="749000000"/>
    <n v="44940000"/>
    <n v="0"/>
    <n v="0"/>
    <n v="0"/>
    <n v="22470000"/>
    <n v="0"/>
    <n v="0"/>
    <n v="6000000"/>
    <n v="614172727.27272725"/>
    <n v="0.27272725105285645"/>
    <n v="614172727"/>
    <n v="0"/>
    <n v="-653672727"/>
    <n v="58830545.454545453"/>
    <n v="6196272.7272727266"/>
    <n v="-13400000"/>
    <s v=""/>
    <s v=""/>
    <n v="12126818.18181818"/>
    <n v="0"/>
    <n v="0"/>
    <n v="0"/>
  </r>
  <r>
    <n v="89"/>
    <s v="Trịnh Trung Tín"/>
    <s v="PHẠM NHƯ NGỌC"/>
    <s v="VF 3"/>
    <s v="RLNVBL9KXTT711856"/>
    <x v="2"/>
    <s v="LAKD"/>
    <s v="S11001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0"/>
    <n v="-5100000"/>
    <s v="TẶNG"/>
    <s v=""/>
    <n v="5667272.4545454532"/>
    <n v="0"/>
    <n v="0"/>
    <n v="0"/>
  </r>
  <r>
    <n v="90"/>
    <s v="Lê Thị Kiều My"/>
    <s v="LÊ TẤN SƠN"/>
    <s v="VF3"/>
    <s v="RLNVBL9K8TT712018"/>
    <x v="3"/>
    <s v="BLKD"/>
    <s v="S11006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2691818.1818181816"/>
    <n v="-5100000"/>
    <s v=""/>
    <s v=""/>
    <n v="8359090.6363636348"/>
    <n v="0"/>
    <n v="0"/>
    <n v="5000000"/>
  </r>
  <r>
    <n v="91"/>
    <s v="Trần Anh Vũ"/>
    <s v="PHẠM DUY CHINH"/>
    <s v="VF3"/>
    <s v="RLNVBL9K5ST716641"/>
    <x v="3"/>
    <s v="BLKD"/>
    <s v="S11006"/>
    <n v="1"/>
    <n v="310000000"/>
    <n v="18600000"/>
    <n v="0"/>
    <n v="0"/>
    <n v="0"/>
    <n v="0"/>
    <n v="0"/>
    <n v="18000000"/>
    <n v="0"/>
    <n v="248545454.54545453"/>
    <n v="-0.45454546809196472"/>
    <n v="248545455"/>
    <n v="0"/>
    <n v="-270545455"/>
    <n v="31941818.18181818"/>
    <n v="2485454.5454545454"/>
    <n v="-6400000"/>
    <s v=""/>
    <s v=""/>
    <n v="6027272.7272727247"/>
    <n v="0"/>
    <n v="0"/>
    <n v="5000000"/>
  </r>
  <r>
    <n v="92"/>
    <s v="Trần Anh Vũ"/>
    <s v="TRẦN MINH THUẬN"/>
    <s v="VF3"/>
    <s v="RLNVBL9K6TT710655"/>
    <x v="3"/>
    <s v="BLKD"/>
    <s v="S11006"/>
    <n v="1"/>
    <n v="302000000"/>
    <n v="18120000"/>
    <n v="0"/>
    <n v="0"/>
    <n v="0"/>
    <n v="0"/>
    <n v="0"/>
    <n v="0"/>
    <n v="0"/>
    <n v="258072727.27272725"/>
    <n v="0.27272725105285645"/>
    <n v="258072727"/>
    <n v="0"/>
    <n v="-263563636"/>
    <n v="15813818.18181818"/>
    <n v="2580727.2727272725"/>
    <n v="-8000000"/>
    <s v=""/>
    <s v="TẶNG"/>
    <n v="4903636.4545454532"/>
    <n v="0"/>
    <n v="0"/>
    <n v="0"/>
  </r>
  <r>
    <n v="93"/>
    <s v="Bùi Văn Quốc Trí"/>
    <s v="VÕ HOÀNG THÂN"/>
    <s v="VF 5"/>
    <s v="RLNV5JSE3TH739954"/>
    <x v="3"/>
    <s v="BLKD"/>
    <s v="S11006"/>
    <n v="1"/>
    <n v="529000000"/>
    <n v="31740000"/>
    <n v="0"/>
    <n v="0"/>
    <n v="0"/>
    <n v="0"/>
    <n v="0"/>
    <n v="0"/>
    <n v="10000000"/>
    <n v="442963636.36363631"/>
    <n v="0.363636314868927"/>
    <n v="442963636"/>
    <n v="0"/>
    <n v="-461672727"/>
    <n v="27700363.636363633"/>
    <n v="4520545.4545454541"/>
    <n v="-4800000"/>
    <s v=""/>
    <s v=""/>
    <n v="8711818.0909090862"/>
    <n v="0"/>
    <n v="0"/>
    <n v="0"/>
  </r>
  <r>
    <n v="94"/>
    <s v="Trương Hoàng Khả"/>
    <s v="TRẦN VĂN THUẬN"/>
    <s v="LIMO GREEN"/>
    <s v="RLLVFPNT7TH702991"/>
    <x v="3"/>
    <s v="BLKD"/>
    <s v="S11006"/>
    <n v="1"/>
    <n v="749000000"/>
    <n v="44940000"/>
    <n v="0"/>
    <n v="0"/>
    <n v="0"/>
    <n v="0"/>
    <n v="0"/>
    <n v="0"/>
    <n v="0"/>
    <n v="640054545.45454538"/>
    <n v="0.45454537868499756"/>
    <n v="640054545"/>
    <n v="0"/>
    <n v="-653672727"/>
    <n v="39220363.636363633"/>
    <n v="0"/>
    <n v="-14400000"/>
    <s v=""/>
    <s v=""/>
    <n v="11202181.636363633"/>
    <n v="0"/>
    <n v="0"/>
    <n v="10000000"/>
  </r>
  <r>
    <n v="95"/>
    <s v="Bùi Văn Quốc Trí"/>
    <s v="ĐỒNG MINH THÔNG"/>
    <s v="MPV 7"/>
    <s v="RLLVFPTT8TH723318"/>
    <x v="3"/>
    <s v="BLKD"/>
    <s v="S11006"/>
    <n v="1"/>
    <n v="819000000"/>
    <n v="0"/>
    <n v="0"/>
    <n v="7.0000000000000007E-2"/>
    <n v="0"/>
    <n v="0"/>
    <n v="0"/>
    <n v="0"/>
    <n v="0"/>
    <n v="744545454.5454545"/>
    <n v="-0.45454549789428711"/>
    <n v="744545455"/>
    <n v="0"/>
    <n v="-714763636"/>
    <n v="0"/>
    <n v="0"/>
    <n v="-12000000"/>
    <s v="TẶNG"/>
    <s v=""/>
    <n v="17781819"/>
    <n v="15000000"/>
    <n v="0"/>
    <n v="10000000"/>
  </r>
  <r>
    <n v="96"/>
    <s v="Bùi Minh Trung"/>
    <s v="HOÀNG NGUYỆT ÁNH"/>
    <s v="VF 5"/>
    <s v="RLNV5JSE3TH717324"/>
    <x v="3"/>
    <s v="BLKD"/>
    <s v="S11006"/>
    <n v="1"/>
    <n v="529000000"/>
    <n v="0"/>
    <n v="0"/>
    <n v="7.0000000000000007E-2"/>
    <n v="0"/>
    <n v="15870000"/>
    <n v="0"/>
    <n v="0"/>
    <n v="10000000"/>
    <n v="457390909.09090906"/>
    <n v="9.0909063816070557E-2"/>
    <n v="457390909"/>
    <n v="0"/>
    <n v="-461672727"/>
    <n v="13850181.818181816"/>
    <n v="0"/>
    <n v="-3600000"/>
    <s v=""/>
    <s v=""/>
    <n v="5968363.8181818165"/>
    <n v="0"/>
    <n v="0"/>
    <n v="7000000"/>
  </r>
  <r>
    <n v="97"/>
    <s v="Nguyễn Thị Bảo Trân"/>
    <s v="NGUYỄN QUỐC NAM"/>
    <s v="VF3"/>
    <s v="RLNVBL9K7TT709725"/>
    <x v="3"/>
    <s v="BLKD"/>
    <s v="S11006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0"/>
    <n v="-5100000"/>
    <s v=""/>
    <s v=""/>
    <n v="5667272.4545454532"/>
    <n v="0"/>
    <n v="0"/>
    <n v="0"/>
  </r>
  <r>
    <n v="98"/>
    <s v="Nguyễn Thị Bảo Trân"/>
    <s v="NGUYỄN BÌNH PHƯƠNG HOÀNG LUẬN"/>
    <s v="EC VAN"/>
    <s v="RNXVGRPK7TT712466"/>
    <x v="3"/>
    <s v="BLKD"/>
    <s v="S11006"/>
    <n v="1"/>
    <n v="305000000"/>
    <n v="18300000"/>
    <n v="0"/>
    <n v="0"/>
    <n v="0"/>
    <n v="0"/>
    <n v="0"/>
    <n v="0"/>
    <n v="0"/>
    <n v="260636363.63636363"/>
    <n v="-0.36363637447357178"/>
    <n v="260636364"/>
    <n v="0"/>
    <n v="-266181818"/>
    <n v="15970909.09090909"/>
    <n v="0"/>
    <n v="-4500000"/>
    <s v=""/>
    <s v=""/>
    <n v="5925455.0909090899"/>
    <n v="0"/>
    <n v="0"/>
    <n v="0"/>
  </r>
  <r>
    <n v="99"/>
    <s v="Bùi Minh Trung"/>
    <s v="NGUYỄN VĂN TÚ"/>
    <s v="VF 7"/>
    <s v="RLLV3EKBXSH879204"/>
    <x v="3"/>
    <s v="BLKD"/>
    <s v="S11006"/>
    <n v="1"/>
    <n v="939000000"/>
    <n v="56340000"/>
    <n v="0"/>
    <n v="0"/>
    <n v="0"/>
    <n v="0"/>
    <n v="0"/>
    <n v="20000000"/>
    <n v="15000000"/>
    <n v="770599999.99999988"/>
    <n v="0"/>
    <n v="770600000"/>
    <n v="0"/>
    <n v="-815222727"/>
    <n v="66276999.999999993"/>
    <n v="0"/>
    <n v="-10400000"/>
    <s v="TẶNG"/>
    <s v=""/>
    <n v="11254272.999999993"/>
    <n v="0"/>
    <n v="0"/>
    <n v="0"/>
  </r>
  <r>
    <n v="100"/>
    <s v="Ngô Đăng Khoa"/>
    <s v="NGÔ THỊ XUÂN"/>
    <s v="VF3"/>
    <s v="RLNVBL9K7TT711958"/>
    <x v="3"/>
    <s v="BLKD"/>
    <s v="S11006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0"/>
    <n v="-6800000"/>
    <s v=""/>
    <s v=""/>
    <n v="3967272.4545454532"/>
    <n v="0"/>
    <n v="0"/>
    <n v="5000000"/>
  </r>
  <r>
    <n v="101"/>
    <s v="TỪ NỮ BÉ MI"/>
    <s v="PHẠM NGỌC HÙNG"/>
    <s v="VF9"/>
    <s v="RLLV2CFA7TH742778"/>
    <x v="0"/>
    <s v="SLKD"/>
    <s v="S11007"/>
    <n v="1"/>
    <n v="1699000000"/>
    <n v="0"/>
    <n v="169900000"/>
    <n v="0"/>
    <n v="5.0000000000000001E-3"/>
    <n v="50970000"/>
    <n v="0"/>
    <n v="0"/>
    <n v="25000000"/>
    <n v="1314399409.090909"/>
    <n v="9.0909004211425781E-2"/>
    <n v="1314399409"/>
    <n v="0"/>
    <n v="-1451872727"/>
    <n v="194973646.36363634"/>
    <n v="26742533.636363633"/>
    <n v="-55000000"/>
    <s v=""/>
    <s v=""/>
    <n v="29242861.99999997"/>
    <n v="0"/>
    <n v="0"/>
    <n v="20000000"/>
  </r>
  <r>
    <n v="102"/>
    <s v="PHẠM THỊ KIM DUNG"/>
    <s v="VÕ VĂN TÀI "/>
    <s v="LIMOGREEN"/>
    <s v="RLLVFPNTXTH742823"/>
    <x v="0"/>
    <s v="SLKD"/>
    <s v="S11007"/>
    <n v="1"/>
    <n v="749000000"/>
    <n v="44940000"/>
    <n v="0"/>
    <n v="0"/>
    <n v="0"/>
    <n v="0"/>
    <n v="0"/>
    <n v="0"/>
    <n v="7000000"/>
    <n v="633690909.090909"/>
    <n v="9.0909004211425781E-2"/>
    <n v="633690909"/>
    <n v="0"/>
    <n v="-653672727"/>
    <n v="39220363.636363633"/>
    <n v="6400545.4545454541"/>
    <n v="-7200000"/>
    <s v=""/>
    <s v=""/>
    <n v="18439091.090909086"/>
    <n v="0"/>
    <n v="0"/>
    <n v="10000000"/>
  </r>
  <r>
    <n v="103"/>
    <s v="PHẠM TRUNG KIÊN"/>
    <s v="HỒ HÀO KIỆT"/>
    <s v="Limo"/>
    <s v="RLLVFPNT0TH704744"/>
    <x v="1"/>
    <s v="QTKD"/>
    <s v="S11007"/>
    <n v="1"/>
    <n v="749000000"/>
    <n v="44940000"/>
    <n v="0"/>
    <n v="0"/>
    <n v="0"/>
    <n v="22470000"/>
    <n v="0"/>
    <n v="0"/>
    <n v="0"/>
    <n v="619627272.72727263"/>
    <n v="-0.272727370262146"/>
    <n v="615081818"/>
    <n v="4545455"/>
    <n v="-653672727"/>
    <n v="58830545.454545453"/>
    <n v="6196272.7272727266"/>
    <n v="-15200000"/>
    <s v=""/>
    <s v=""/>
    <n v="15781364.18181818"/>
    <n v="0"/>
    <n v="0"/>
    <n v="10000000"/>
  </r>
  <r>
    <n v="104"/>
    <s v="PHẠM TRUNG KIÊN"/>
    <s v="NGUYỄN VĂN SANG"/>
    <s v="Limo"/>
    <s v="RLLVFPNT4TH713186"/>
    <x v="1"/>
    <s v="QTKD"/>
    <s v="S11007"/>
    <n v="1"/>
    <n v="749000000"/>
    <n v="44940000"/>
    <n v="0"/>
    <n v="0"/>
    <n v="0"/>
    <n v="22470000"/>
    <n v="0"/>
    <n v="0"/>
    <n v="12000000"/>
    <n v="608718181.81818175"/>
    <n v="-0.18181824684143066"/>
    <n v="608718182"/>
    <n v="0"/>
    <n v="-653672727"/>
    <n v="58830545.454545453"/>
    <n v="6196272.7272727266"/>
    <n v="-7200000"/>
    <s v=""/>
    <s v=""/>
    <n v="12872273.18181818"/>
    <n v="0"/>
    <n v="0"/>
    <n v="10000000"/>
  </r>
  <r>
    <n v="105"/>
    <s v="NGUYỄN TRỌNG HƯNG"/>
    <s v="LÊ MAI THÀNH TOÀN"/>
    <s v="VF3"/>
    <s v="RLNVBL9K4TT713943"/>
    <x v="1"/>
    <s v="QTKD"/>
    <s v="S11008"/>
    <n v="1"/>
    <n v="315000000"/>
    <n v="18900000"/>
    <n v="0"/>
    <n v="0"/>
    <n v="0"/>
    <n v="9450000"/>
    <n v="0"/>
    <n v="0"/>
    <n v="6000000"/>
    <n v="255136363.63636363"/>
    <n v="-0.36363637447357178"/>
    <n v="255136364"/>
    <n v="0"/>
    <n v="-274909091"/>
    <n v="24741818.18181818"/>
    <n v="0"/>
    <n v="-2000000"/>
    <s v=""/>
    <s v=""/>
    <n v="2969091.1818181798"/>
    <n v="0"/>
    <n v="0"/>
    <n v="0"/>
  </r>
  <r>
    <n v="106"/>
    <s v="NGUYỄN HỮU ĐỨC"/>
    <s v="LÂM NGỌC TRINH"/>
    <s v="VF3"/>
    <s v="RLNVBL9K0TT714135"/>
    <x v="1"/>
    <s v="QTKD"/>
    <s v="S11007"/>
    <n v="1"/>
    <n v="315000000"/>
    <n v="18900000"/>
    <n v="0"/>
    <n v="0"/>
    <n v="0"/>
    <n v="9450000"/>
    <n v="0"/>
    <n v="0"/>
    <n v="0"/>
    <n v="260590909.09090906"/>
    <n v="9.0909063816070557E-2"/>
    <n v="260590909"/>
    <n v="0"/>
    <n v="-274909091"/>
    <n v="24741818.18181818"/>
    <n v="2605909.0909090908"/>
    <n v="-6800000"/>
    <s v=""/>
    <s v=""/>
    <n v="6229545.2727272697"/>
    <n v="0"/>
    <n v="0"/>
    <n v="0"/>
  </r>
  <r>
    <n v="107"/>
    <s v="HÀ DUY KHANG"/>
    <s v="ĐẶNG THỊ THUÝ HẰNG"/>
    <s v="VF3"/>
    <s v="RLNVBL9K7TT712916"/>
    <x v="1"/>
    <s v="QTKD"/>
    <s v="S11008"/>
    <n v="1"/>
    <n v="315000000"/>
    <n v="18900000"/>
    <n v="0"/>
    <n v="0"/>
    <n v="0"/>
    <n v="0"/>
    <n v="0"/>
    <n v="0"/>
    <n v="5000000"/>
    <n v="264636363.63636363"/>
    <n v="-0.36363637447357178"/>
    <n v="264636364"/>
    <n v="0"/>
    <n v="-274909091"/>
    <n v="16494545.454545453"/>
    <n v="0"/>
    <n v="-2800000"/>
    <s v=""/>
    <s v=""/>
    <n v="3421818.4545454532"/>
    <n v="0"/>
    <n v="0"/>
    <n v="0"/>
  </r>
  <r>
    <n v="108"/>
    <s v="Lê Ngọc Đức"/>
    <s v="NGUYỄN HẰNG VI"/>
    <s v="LIMO GREEN"/>
    <s v="RLLVFPNT9TH743719"/>
    <x v="2"/>
    <s v="LAKD"/>
    <s v="S11001"/>
    <n v="1"/>
    <n v="749000000"/>
    <n v="44940000"/>
    <n v="0"/>
    <n v="0"/>
    <n v="0.01"/>
    <n v="22470000"/>
    <n v="0"/>
    <n v="0"/>
    <n v="0"/>
    <n v="613431000"/>
    <n v="0"/>
    <n v="613431000"/>
    <n v="0"/>
    <n v="-653672727"/>
    <n v="64778967.272727266"/>
    <n v="0"/>
    <n v="-11400000"/>
    <s v="TẶNG"/>
    <s v=""/>
    <n v="13137240.272727266"/>
    <n v="0"/>
    <n v="0"/>
    <n v="0"/>
  </r>
  <r>
    <n v="109"/>
    <s v="Lê Ngọc Đức"/>
    <s v="LÊ NGUYỄN PHƯƠNG VI"/>
    <s v="VF 3"/>
    <s v="RLNVBL9K7ST716401"/>
    <x v="2"/>
    <s v="LAKD"/>
    <s v="S11006"/>
    <n v="1"/>
    <n v="310000000"/>
    <n v="18600000"/>
    <n v="0"/>
    <n v="0"/>
    <n v="0"/>
    <n v="0"/>
    <n v="0"/>
    <n v="18000000"/>
    <n v="0"/>
    <n v="248545454.54545453"/>
    <n v="-0.45454546809196472"/>
    <n v="248545455"/>
    <n v="0"/>
    <n v="-270545455"/>
    <n v="31941818.18181818"/>
    <n v="0"/>
    <n v="-4800000"/>
    <s v=""/>
    <s v=""/>
    <n v="5141818.1818181798"/>
    <n v="0"/>
    <n v="0"/>
    <n v="0"/>
  </r>
  <r>
    <n v="110"/>
    <s v="Lê Ngọc Toàn"/>
    <s v="LÊ VIỆT HOÀNG"/>
    <s v="VF 5"/>
    <s v="RLNV5JSE9TH736413"/>
    <x v="2"/>
    <s v="LAKD"/>
    <s v="S11001"/>
    <n v="1"/>
    <n v="529000000"/>
    <n v="31740000"/>
    <n v="0"/>
    <n v="0"/>
    <n v="0"/>
    <n v="0"/>
    <n v="0"/>
    <n v="0"/>
    <n v="0"/>
    <n v="452054545.45454544"/>
    <n v="0.45454543828964233"/>
    <n v="452054545"/>
    <n v="0"/>
    <n v="-461672727"/>
    <n v="27700363.636363633"/>
    <n v="0"/>
    <n v="-11979598.990989035"/>
    <s v=""/>
    <s v="TẶNG"/>
    <n v="6102582.645374598"/>
    <n v="0"/>
    <n v="0"/>
    <n v="0"/>
  </r>
  <r>
    <n v="111"/>
    <s v="Trần Anh Hoàng"/>
    <s v="TRỊNH NHỰT HOÀNG"/>
    <s v="LIMO GREEN"/>
    <s v="RLLVFPNT8TH703602"/>
    <x v="2"/>
    <s v="LAKD"/>
    <s v="S11001"/>
    <n v="1"/>
    <n v="749000000"/>
    <n v="44940000"/>
    <n v="0"/>
    <n v="0"/>
    <m/>
    <n v="22470000"/>
    <n v="0"/>
    <n v="0"/>
    <n v="0"/>
    <n v="619627272.72727263"/>
    <n v="-0.272727370262146"/>
    <n v="616574591"/>
    <n v="3052682"/>
    <n v="-653672727"/>
    <n v="61761119.999999993"/>
    <n v="0"/>
    <n v="-14400000"/>
    <s v=""/>
    <s v=""/>
    <n v="13315665.999999993"/>
    <n v="0"/>
    <n v="0"/>
    <n v="10000000"/>
  </r>
  <r>
    <n v="112"/>
    <s v="NGUYỄN DUY KHANG"/>
    <s v="CTY TNHH TM &amp; DV GIẢI PHÁP TỰ ĐỘNG HÓA LONG AN"/>
    <s v="LIMO GREEN"/>
    <s v="RLLVFPNT8TH742285"/>
    <x v="0"/>
    <s v="SLKD"/>
    <s v="S11001"/>
    <n v="1"/>
    <n v="749000000"/>
    <n v="44940000"/>
    <n v="0"/>
    <n v="0"/>
    <n v="0"/>
    <n v="0"/>
    <n v="0"/>
    <n v="0"/>
    <n v="8000000"/>
    <n v="632781818.18181813"/>
    <n v="0.18181812763214111"/>
    <n v="632781818"/>
    <n v="0"/>
    <n v="-653672727"/>
    <n v="39220363.636363633"/>
    <n v="0"/>
    <n v="-11000000"/>
    <s v=""/>
    <s v=""/>
    <n v="7329454.636363633"/>
    <n v="0"/>
    <n v="0"/>
    <n v="0"/>
  </r>
  <r>
    <n v="113"/>
    <s v="BÙI XUÂN MINH"/>
    <s v="HỨA NGUYỄN TRỌNG TOÀN"/>
    <s v="VF 5"/>
    <s v="RLNV5JSE1TH743467"/>
    <x v="0"/>
    <s v="SLKD"/>
    <s v="S11007"/>
    <n v="1"/>
    <n v="529000000"/>
    <n v="31740000"/>
    <n v="0"/>
    <n v="0"/>
    <n v="5.0000000000000001E-3"/>
    <n v="15870000"/>
    <n v="0"/>
    <n v="0"/>
    <n v="10000000"/>
    <n v="426348227.27272725"/>
    <n v="0.27272725105285645"/>
    <n v="426348227"/>
    <n v="0"/>
    <n v="-461672727"/>
    <n v="43651156.36363636"/>
    <n v="4354391.3636363633"/>
    <n v="-4800000"/>
    <s v=""/>
    <s v=""/>
    <n v="7881047.7272727229"/>
    <n v="0"/>
    <n v="0"/>
    <n v="0"/>
  </r>
  <r>
    <n v="114"/>
    <s v="ĐOÀN VĂN CƯƠNG"/>
    <s v="NGÔ PHƯƠNG THÙY"/>
    <s v="VF 3"/>
    <s v="RLNVBL9K9TT716675"/>
    <x v="0"/>
    <s v="SLKD"/>
    <s v="S11007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2691818.1818181816"/>
    <n v="-6800000"/>
    <s v=""/>
    <s v=""/>
    <n v="6659090.6363636348"/>
    <n v="0"/>
    <n v="0"/>
    <n v="5000000"/>
  </r>
  <r>
    <n v="115"/>
    <s v="TỪ NỮ BÉ MI"/>
    <s v="TỪ NŨ BÉ MI"/>
    <s v="VF 7"/>
    <s v="RLLV3EKB2TH748026"/>
    <x v="0"/>
    <s v="SLKD"/>
    <s v="S11007"/>
    <n v="1"/>
    <n v="939000000"/>
    <n v="56340000"/>
    <n v="0"/>
    <n v="0"/>
    <n v="0"/>
    <n v="0"/>
    <n v="0.03"/>
    <n v="0"/>
    <n v="15000000"/>
    <n v="763172727.27272725"/>
    <n v="0.27272725105285645"/>
    <n v="763172727"/>
    <n v="0"/>
    <n v="-815222727"/>
    <n v="60565499.999999993"/>
    <n v="7768090.9090909082"/>
    <n v="800000"/>
    <s v=""/>
    <s v=""/>
    <n v="17083590.909090899"/>
    <n v="0"/>
    <n v="0"/>
    <n v="15000000"/>
  </r>
  <r>
    <n v="116"/>
    <s v="VÕ VĂN KIÊN"/>
    <s v="NGUYỄN TRUNG THỊNH"/>
    <s v="VF5"/>
    <s v="RLNV5JSEXTH743418"/>
    <x v="0"/>
    <s v="SLKD"/>
    <s v="S11007"/>
    <n v="1"/>
    <n v="529000000"/>
    <n v="31740000"/>
    <n v="0"/>
    <n v="0"/>
    <n v="0"/>
    <n v="0"/>
    <n v="0"/>
    <n v="0"/>
    <n v="5000000"/>
    <n v="447509090.90909088"/>
    <n v="-9.0909123420715332E-2"/>
    <n v="447509091"/>
    <n v="0"/>
    <n v="-461672727"/>
    <n v="27700363.636363633"/>
    <n v="4520545.4545454541"/>
    <n v="-11000000"/>
    <s v=""/>
    <s v=""/>
    <n v="7057273.0909090862"/>
    <n v="0"/>
    <n v="0"/>
    <n v="0"/>
  </r>
  <r>
    <n v="117"/>
    <s v="VŨ THỊ BÍCH HẰNG"/>
    <s v="NGUYỄN CÔNG DUY"/>
    <s v="VF3"/>
    <s v="RLNVBL9K9TT713467"/>
    <x v="0"/>
    <s v="SLKD"/>
    <s v="S11007"/>
    <n v="1"/>
    <n v="315000000"/>
    <n v="18900000"/>
    <n v="0"/>
    <n v="0"/>
    <n v="0"/>
    <n v="9450000"/>
    <n v="0"/>
    <n v="0"/>
    <n v="2000000"/>
    <n v="258772727.27272725"/>
    <n v="0.27272725105285645"/>
    <n v="258772727"/>
    <n v="0"/>
    <n v="-274909091"/>
    <n v="24741818.18181818"/>
    <n v="2605909.0909090908"/>
    <n v="-5200000"/>
    <s v=""/>
    <s v=""/>
    <n v="6011363.2727272697"/>
    <n v="0"/>
    <n v="0"/>
    <n v="0"/>
  </r>
  <r>
    <n v="118"/>
    <s v="Trịnh Trung Tín"/>
    <s v="HUỲNH THỊ BÉ GIANG"/>
    <s v="VF 3"/>
    <s v="RLNVBL9K3TT716168"/>
    <x v="2"/>
    <s v="LAKD"/>
    <s v="S11001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0"/>
    <n v="-5100000"/>
    <s v="TẶNG"/>
    <s v=""/>
    <n v="5667272.4545454532"/>
    <n v="0"/>
    <n v="0"/>
    <n v="0"/>
  </r>
  <r>
    <n v="119"/>
    <s v="Trần Minh Hiếu"/>
    <n v="0"/>
    <s v="LIMO GREEN"/>
    <s v="RLLVFPNT6TH747484"/>
    <x v="2"/>
    <s v="LAKD"/>
    <s v="S11001"/>
    <n v="1"/>
    <n v="749000000"/>
    <n v="44940000"/>
    <n v="0"/>
    <n v="0"/>
    <n v="0"/>
    <n v="0"/>
    <n v="0"/>
    <n v="0"/>
    <n v="0"/>
    <n v="640054545.45454538"/>
    <n v="0.45454537868499756"/>
    <n v="640054545"/>
    <n v="0"/>
    <n v="-653672727"/>
    <n v="39220363.636363633"/>
    <n v="0"/>
    <n v="-11400000"/>
    <s v="TẶNG"/>
    <s v=""/>
    <n v="14202181.636363633"/>
    <n v="0"/>
    <n v="0"/>
    <n v="10000000"/>
  </r>
  <r>
    <n v="120"/>
    <s v="TRẦN GIA HUY"/>
    <s v="VÕ HÙNG CƯỜNG"/>
    <s v="EC VAN"/>
    <s v="RNXVGRPK1TT710874"/>
    <x v="0"/>
    <s v="SLKD"/>
    <s v="S11007"/>
    <n v="1"/>
    <n v="305000000"/>
    <n v="0"/>
    <n v="0"/>
    <n v="7.0000000000000007E-2"/>
    <n v="0"/>
    <n v="0"/>
    <n v="0"/>
    <n v="0"/>
    <n v="0"/>
    <n v="277272727.27272725"/>
    <n v="0.27272725105285645"/>
    <n v="277272727"/>
    <n v="0"/>
    <n v="-266181818"/>
    <n v="0"/>
    <n v="2772727.2727272725"/>
    <n v="-4500000"/>
    <s v=""/>
    <s v=""/>
    <n v="9363636.2727272734"/>
    <n v="0"/>
    <n v="0"/>
    <n v="0"/>
  </r>
  <r>
    <n v="121"/>
    <s v="NGUYỄN VÂN THI"/>
    <s v="NGUYỄN TRUNG HIẾU"/>
    <s v="VF MPV 7"/>
    <s v="RLLVFPTT8TH733007"/>
    <x v="1"/>
    <s v="QTKD"/>
    <s v="S11007"/>
    <n v="1"/>
    <n v="819000000"/>
    <n v="49140000"/>
    <n v="0"/>
    <n v="0"/>
    <n v="0"/>
    <n v="24570000"/>
    <n v="0"/>
    <n v="0"/>
    <n v="15000000"/>
    <n v="663900000"/>
    <n v="0"/>
    <n v="663900000"/>
    <n v="0"/>
    <n v="-684218181"/>
    <n v="64328727.272727266"/>
    <n v="6775363.6363636358"/>
    <n v="-3000000"/>
    <s v=""/>
    <s v=""/>
    <n v="47785909.909090899"/>
    <n v="0"/>
    <n v="0"/>
    <n v="0"/>
  </r>
  <r>
    <n v="122"/>
    <s v="PHÙNG BÁ AN"/>
    <s v="NGUYỄN VĂN HỢP"/>
    <s v="VF3"/>
    <s v="RLNVBL9K2ST717441"/>
    <x v="1"/>
    <s v="QTKD"/>
    <s v="S11007"/>
    <n v="1"/>
    <n v="310000000"/>
    <n v="18600000"/>
    <n v="0"/>
    <n v="0"/>
    <n v="0"/>
    <n v="0"/>
    <n v="0"/>
    <n v="18000000"/>
    <n v="5520000"/>
    <n v="243527272.72727272"/>
    <n v="-0.27272728085517883"/>
    <n v="243527273"/>
    <n v="0"/>
    <n v="-270545455"/>
    <n v="31941818.18181818"/>
    <n v="2485454.5454545454"/>
    <n v="-1984000"/>
    <s v=""/>
    <s v=""/>
    <n v="5425090.7272727247"/>
    <n v="0"/>
    <n v="0"/>
    <n v="0"/>
  </r>
  <r>
    <n v="123"/>
    <s v="NGUYỄN VÂN THI"/>
    <s v="LÊ THỊ TẤN"/>
    <s v="VF3"/>
    <s v="RLNVBL9K0TT701918"/>
    <x v="1"/>
    <s v="QTKD"/>
    <s v="S11001"/>
    <n v="1"/>
    <n v="310000000"/>
    <n v="18600000"/>
    <n v="0"/>
    <n v="0"/>
    <n v="0"/>
    <n v="0"/>
    <n v="0.05"/>
    <n v="0"/>
    <n v="0"/>
    <n v="250818181.81818181"/>
    <n v="-0.18181818723678589"/>
    <n v="250818182"/>
    <n v="0"/>
    <n v="-270545455"/>
    <n v="22714545.454545453"/>
    <n v="0"/>
    <n v="-3200000"/>
    <s v=""/>
    <s v=""/>
    <n v="-212727.54545454681"/>
    <n v="0"/>
    <n v="0"/>
    <n v="0"/>
  </r>
  <r>
    <n v="124"/>
    <s v="NGUYÊN ANH KHOA"/>
    <s v="NGUYỄN VĂN CHIẾN"/>
    <s v="VF5"/>
    <s v="RLNV5JSE6TH710660"/>
    <x v="1"/>
    <s v="QTKD"/>
    <s v="S11007"/>
    <n v="1"/>
    <n v="537000000"/>
    <n v="32220000"/>
    <n v="0"/>
    <n v="0"/>
    <n v="0"/>
    <n v="16110000"/>
    <n v="0"/>
    <n v="0"/>
    <n v="10000000"/>
    <n v="435154545.45454544"/>
    <n v="0.45454543828964233"/>
    <n v="435154545"/>
    <n v="0"/>
    <n v="-468654545"/>
    <n v="42178909.090909086"/>
    <n v="4442454.5454545449"/>
    <n v="-3600000"/>
    <s v=""/>
    <s v=""/>
    <n v="9521363.6363636311"/>
    <n v="0"/>
    <n v="0"/>
    <n v="0"/>
  </r>
  <r>
    <n v="125"/>
    <s v="NGUYỄN HỮU ĐỨC"/>
    <s v="NGUYỄN QUỐC VIỆT"/>
    <s v="VF MPV 7"/>
    <s v="RLLVFPTT0TH718307"/>
    <x v="1"/>
    <s v="QTKD"/>
    <s v="S11007"/>
    <n v="1"/>
    <n v="819000000"/>
    <n v="49140000"/>
    <n v="0"/>
    <n v="0"/>
    <n v="0"/>
    <n v="0"/>
    <n v="0"/>
    <n v="0"/>
    <n v="12000000"/>
    <n v="688963636.36363626"/>
    <n v="0.36363625526428223"/>
    <n v="688963636"/>
    <n v="0"/>
    <n v="-714763636"/>
    <n v="42885818.18181818"/>
    <n v="6998727.2727272725"/>
    <n v="-6400000"/>
    <s v=""/>
    <s v=""/>
    <n v="17684545.454545453"/>
    <n v="0"/>
    <n v="15000000"/>
    <n v="0"/>
  </r>
  <r>
    <n v="126"/>
    <s v="TRIỆU NGUYỄN TÚ HÀO"/>
    <s v="TRẦN MỸ QUYÊN"/>
    <s v="VF3"/>
    <s v="RLNVBL9K8TT715534"/>
    <x v="1"/>
    <s v="QTKD"/>
    <s v="S11007"/>
    <n v="1"/>
    <n v="302000000"/>
    <n v="18120000"/>
    <n v="0"/>
    <n v="0"/>
    <n v="0"/>
    <n v="0"/>
    <n v="0"/>
    <n v="0"/>
    <n v="6000000"/>
    <n v="252618181.81818178"/>
    <n v="-0.18181821703910828"/>
    <n v="252618182"/>
    <n v="0"/>
    <n v="-263563636"/>
    <n v="15813818.18181818"/>
    <n v="2580727.2727272725"/>
    <n v="-1600000"/>
    <s v=""/>
    <s v=""/>
    <n v="5849091.4545454523"/>
    <n v="0"/>
    <n v="0"/>
    <n v="0"/>
  </r>
  <r>
    <n v="127"/>
    <s v="NGUYỄN HỮU ĐỨC"/>
    <s v="LÊ THANH XUÂN"/>
    <s v="VF5"/>
    <s v="RLNV5JSE9TH741031"/>
    <x v="1"/>
    <s v="QTKD"/>
    <s v="S11008"/>
    <n v="1"/>
    <n v="529000000"/>
    <n v="31740000"/>
    <n v="0"/>
    <n v="0"/>
    <n v="0"/>
    <n v="0"/>
    <n v="0"/>
    <n v="0"/>
    <n v="10000000"/>
    <n v="442963636.36363631"/>
    <n v="0.363636314868927"/>
    <n v="442963636"/>
    <n v="0"/>
    <n v="-461672727"/>
    <n v="27700363.636363633"/>
    <n v="0"/>
    <n v="-3600000"/>
    <s v=""/>
    <s v=""/>
    <n v="5391272.636363633"/>
    <n v="0"/>
    <n v="0"/>
    <n v="0"/>
  </r>
  <r>
    <n v="128"/>
    <s v="NGUYỄN HUỲNH DUY KHAN"/>
    <s v="TRẦN HỮU TRUNG"/>
    <s v="VF7"/>
    <s v="RLLV3FKC9TH741234"/>
    <x v="1"/>
    <s v="QTKD"/>
    <s v="S11007"/>
    <n v="1"/>
    <n v="889000000"/>
    <n v="53340000"/>
    <n v="0"/>
    <n v="0"/>
    <n v="0"/>
    <n v="26670000"/>
    <n v="0"/>
    <n v="0"/>
    <n v="15000000"/>
    <n v="721809090.90909088"/>
    <n v="-9.0909123420715332E-2"/>
    <n v="721809091"/>
    <n v="0"/>
    <n v="-771813636"/>
    <n v="69463227.272727266"/>
    <n v="7354454.5454545449"/>
    <n v="-10400000"/>
    <s v=""/>
    <s v=""/>
    <n v="16413136.818181813"/>
    <n v="0"/>
    <n v="0"/>
    <n v="0"/>
  </r>
  <r>
    <n v="129"/>
    <s v="HUỲNH THIÊN ĐỨC"/>
    <s v="NGUYỄN THỊ PHƯƠNG GIÀU"/>
    <s v="VF3"/>
    <s v="RLNVBL9K8TT710723"/>
    <x v="1"/>
    <s v="QTKD"/>
    <s v="S11007"/>
    <n v="1"/>
    <n v="302000000"/>
    <n v="18120000"/>
    <n v="0"/>
    <n v="0"/>
    <n v="0"/>
    <n v="0"/>
    <n v="0"/>
    <n v="0"/>
    <n v="6000000"/>
    <n v="252618181.81818178"/>
    <n v="-0.18181821703910828"/>
    <n v="252618182"/>
    <n v="0"/>
    <n v="-263563636"/>
    <n v="22795636.363636363"/>
    <n v="2580727.2727272725"/>
    <n v="-1200000"/>
    <s v=""/>
    <s v=""/>
    <n v="13230909.636363637"/>
    <n v="0"/>
    <n v="0"/>
    <n v="0"/>
  </r>
  <r>
    <n v="130"/>
    <s v="NGUYỄN MINH PHƯƠNG"/>
    <s v="HUỲNH TUẤN KHANG"/>
    <s v="MPV7"/>
    <s v="RLLVFPTTXTH726298"/>
    <x v="1"/>
    <s v="QTKD"/>
    <s v="S11007"/>
    <n v="1"/>
    <n v="819000000"/>
    <n v="49140000"/>
    <n v="0"/>
    <n v="0"/>
    <n v="1.4999999999999999E-2"/>
    <n v="0"/>
    <n v="0"/>
    <n v="0"/>
    <n v="15000000"/>
    <n v="675738272.72727263"/>
    <n v="-0.272727370262146"/>
    <n v="675738273"/>
    <n v="0"/>
    <n v="-714763636"/>
    <n v="52963985.454545453"/>
    <n v="6893746.3636363633"/>
    <n v="-4000000"/>
    <s v=""/>
    <s v=""/>
    <n v="16832368.818181816"/>
    <n v="0"/>
    <n v="0"/>
    <n v="0"/>
  </r>
  <r>
    <n v="131"/>
    <s v="Võ Hoài Nhật"/>
    <s v="Tiêu Trần Minh Hương"/>
    <s v="VF3"/>
    <s v="RLNVBL9K2TT709857"/>
    <x v="4"/>
    <s v="Q9KD"/>
    <s v="S11007"/>
    <n v="1"/>
    <n v="315000000"/>
    <n v="18900000"/>
    <n v="0"/>
    <n v="0"/>
    <n v="0.01"/>
    <n v="0"/>
    <n v="0"/>
    <n v="0"/>
    <n v="5000000"/>
    <n v="261944545.45454544"/>
    <n v="0.45454543828964233"/>
    <n v="261944545"/>
    <n v="0"/>
    <n v="-274909091"/>
    <n v="19078690.909090906"/>
    <n v="2664900"/>
    <n v="-2100000"/>
    <s v=""/>
    <s v=""/>
    <n v="6679044.9090909064"/>
    <n v="0"/>
    <n v="0"/>
    <n v="0"/>
  </r>
  <r>
    <n v="132"/>
    <s v="La Trọng Hiếu"/>
    <s v="Huỳnh Thới Em"/>
    <s v="VF5"/>
    <s v="RLNV5JSE8TH747175"/>
    <x v="4"/>
    <s v="Q9KD"/>
    <s v="S11007"/>
    <n v="1"/>
    <n v="537000000"/>
    <n v="32220000"/>
    <n v="0"/>
    <n v="0"/>
    <n v="0"/>
    <n v="0"/>
    <n v="0"/>
    <n v="0"/>
    <n v="9000000"/>
    <n v="450709090.90909088"/>
    <n v="-9.0909123420715332E-2"/>
    <n v="450709091"/>
    <n v="0"/>
    <n v="-468654545"/>
    <n v="28119272.727272727"/>
    <n v="4588909.0909090908"/>
    <n v="-6896296.4722998505"/>
    <s v=""/>
    <s v=""/>
    <n v="7866431.3458819659"/>
    <n v="0"/>
    <n v="0"/>
    <n v="0"/>
  </r>
  <r>
    <n v="133"/>
    <s v="Đặng Quang Thắng"/>
    <s v="Triệu Ngọc Toàn"/>
    <s v="VF8"/>
    <s v="RLLV1AUAXTH997323"/>
    <x v="4"/>
    <s v="Q9KD"/>
    <s v="S11007"/>
    <n v="1"/>
    <n v="1199000000"/>
    <n v="0"/>
    <n v="119900000"/>
    <n v="0"/>
    <n v="5.0000000000000001E-3"/>
    <n v="35970000"/>
    <n v="0"/>
    <n v="0"/>
    <n v="19900000"/>
    <n v="925467590.90909088"/>
    <n v="-9.0909123420715332E-2"/>
    <n v="925467591"/>
    <n v="0"/>
    <n v="-1030050000"/>
    <n v="138387217.5"/>
    <n v="18871170"/>
    <n v="-20100000"/>
    <s v=""/>
    <s v=""/>
    <n v="32575978.5"/>
    <n v="0"/>
    <n v="0"/>
    <n v="0"/>
  </r>
  <r>
    <n v="134"/>
    <s v="Nguyễn Minh Trí"/>
    <s v="Nguyễn Thị Tố Quyên"/>
    <s v="MPV7"/>
    <s v="RLLVFPTT1TH739229"/>
    <x v="4"/>
    <s v="Q9KD"/>
    <s v="S11007"/>
    <n v="1"/>
    <n v="819000000"/>
    <n v="0"/>
    <n v="0"/>
    <n v="7.0000000000000007E-2"/>
    <n v="0"/>
    <n v="0"/>
    <n v="0"/>
    <n v="0"/>
    <n v="10000000"/>
    <n v="735454545.45454538"/>
    <n v="0.45454537868499756"/>
    <n v="735454545"/>
    <n v="0"/>
    <n v="-714763636"/>
    <n v="0"/>
    <n v="7445454.5454545449"/>
    <n v="-8000000"/>
    <s v=""/>
    <s v=""/>
    <n v="20136363.545454547"/>
    <n v="0"/>
    <n v="0"/>
    <n v="15000000"/>
  </r>
  <r>
    <n v="135"/>
    <s v="Nguyễn Thị Phương Anh"/>
    <s v="Tạ Thị Hậu"/>
    <s v="MPV7"/>
    <s v="RLLVFPTT7TH733757"/>
    <x v="4"/>
    <s v="Q9KD"/>
    <s v="S11007"/>
    <n v="1"/>
    <n v="819000000"/>
    <n v="49140000"/>
    <n v="0"/>
    <n v="0"/>
    <n v="0"/>
    <n v="0"/>
    <n v="0"/>
    <n v="0"/>
    <n v="12000000"/>
    <n v="688963636.36363626"/>
    <n v="0.36363625526428223"/>
    <n v="688963636"/>
    <n v="0"/>
    <n v="-714763636"/>
    <n v="42885818.18181818"/>
    <n v="6998727.2727272725"/>
    <n v="-4800000"/>
    <s v=""/>
    <s v=""/>
    <n v="19284545.454545453"/>
    <n v="0"/>
    <n v="0"/>
    <n v="15000000"/>
  </r>
  <r>
    <n v="136"/>
    <s v="Nguyễn Thị Phương Anh"/>
    <s v="Võ Huỳnh Nhựt Tiến"/>
    <s v="MPV7"/>
    <s v="RLLVFPTT8TH731998"/>
    <x v="4"/>
    <s v="Q9KD"/>
    <s v="S11007"/>
    <n v="1"/>
    <n v="819000000"/>
    <n v="49140000"/>
    <n v="0"/>
    <n v="0"/>
    <n v="0"/>
    <n v="0"/>
    <n v="0"/>
    <n v="0"/>
    <n v="12000000"/>
    <n v="688963636.36363626"/>
    <n v="0.36363625526428223"/>
    <n v="688963636"/>
    <n v="0"/>
    <n v="-714763636"/>
    <n v="42885818.18181818"/>
    <n v="6998727.2727272725"/>
    <n v="-4800000"/>
    <s v=""/>
    <s v=""/>
    <n v="19284545.454545453"/>
    <n v="0"/>
    <n v="0"/>
    <n v="15000000"/>
  </r>
  <r>
    <n v="137"/>
    <s v="Ung Khắc Cảnh"/>
    <s v="Trần Đinh Diệu Châu"/>
    <s v="VF3"/>
    <s v="RLNVBL9K9TT715543"/>
    <x v="4"/>
    <s v="Q9KD"/>
    <s v="S11007"/>
    <n v="1"/>
    <n v="323000000"/>
    <n v="19380000"/>
    <n v="0"/>
    <n v="0"/>
    <n v="0"/>
    <n v="0"/>
    <n v="0"/>
    <n v="0"/>
    <n v="0"/>
    <n v="276018181.81818181"/>
    <n v="-0.18181818723678589"/>
    <n v="276018182"/>
    <n v="0"/>
    <n v="-281890909"/>
    <n v="16913454.545454543"/>
    <n v="2760181.8181818179"/>
    <n v="-6800000"/>
    <s v=""/>
    <s v=""/>
    <n v="7000909.3636363614"/>
    <n v="0"/>
    <n v="0"/>
    <n v="0"/>
  </r>
  <r>
    <n v="138"/>
    <s v="Phạm Nguyễn Viết Khánh"/>
    <s v="Nguyễn Đắc Tuấn"/>
    <s v="VF7"/>
    <s v="RLLV3F5D7SH878174"/>
    <x v="4"/>
    <s v="Q9KD"/>
    <s v="S11007"/>
    <n v="1"/>
    <n v="799000000"/>
    <n v="47940000"/>
    <n v="0"/>
    <n v="0"/>
    <n v="0"/>
    <n v="23970000"/>
    <n v="0.05"/>
    <n v="20000000"/>
    <n v="0"/>
    <n v="606490909.090909"/>
    <n v="9.0909004211425781E-2"/>
    <n v="606490909"/>
    <n v="0"/>
    <n v="-693677273"/>
    <n v="96319363.636363626"/>
    <n v="6064909.0909090908"/>
    <n v="-11200000"/>
    <s v=""/>
    <s v=""/>
    <n v="3997908.7272727154"/>
    <n v="0"/>
    <n v="0"/>
    <n v="0"/>
  </r>
  <r>
    <n v="139"/>
    <s v="Nguyễn Trần Quốc Duy"/>
    <s v="Nguyễn Thanh Bình"/>
    <s v="VF3"/>
    <s v="RLNVBL9K9TT713517"/>
    <x v="4"/>
    <s v="Q9KD"/>
    <s v="S11007"/>
    <n v="1"/>
    <n v="315000000"/>
    <n v="18900000"/>
    <n v="0"/>
    <n v="0"/>
    <n v="0"/>
    <n v="0"/>
    <n v="0.05"/>
    <n v="0"/>
    <n v="0"/>
    <n v="254863636.36363634"/>
    <n v="0.36363634467124939"/>
    <n v="254863636"/>
    <n v="0"/>
    <n v="-274909091"/>
    <n v="23080909.09090909"/>
    <n v="2548636.3636363633"/>
    <n v="-3400000"/>
    <s v=""/>
    <s v=""/>
    <n v="2184090.4545454532"/>
    <n v="0"/>
    <n v="0"/>
    <n v="0"/>
  </r>
  <r>
    <n v="140"/>
    <s v="Nguyễn Trần Quốc Duy"/>
    <s v="Huỳnh Sĩ Nguyên"/>
    <s v="VF3"/>
    <s v="RLNVBL9K5TT712266"/>
    <x v="4"/>
    <s v="Q9KD"/>
    <s v="S11008"/>
    <n v="1"/>
    <n v="315000000"/>
    <n v="18900000"/>
    <n v="0"/>
    <n v="0"/>
    <n v="0"/>
    <n v="9450000"/>
    <n v="0.05"/>
    <n v="0"/>
    <n v="0"/>
    <n v="246272727.27272725"/>
    <n v="0.27272725105285645"/>
    <n v="246272727"/>
    <n v="0"/>
    <n v="-274909091"/>
    <n v="31328181.818181816"/>
    <n v="0"/>
    <n v="-3400000"/>
    <s v=""/>
    <s v=""/>
    <n v="-708182.18181818351"/>
    <n v="0"/>
    <n v="0"/>
    <n v="0"/>
  </r>
  <r>
    <n v="141"/>
    <s v="Nguyễn Bá Thản"/>
    <s v="Phạm Gia Bảo"/>
    <s v="VF3"/>
    <s v="RLNVBL9K9TT713419"/>
    <x v="4"/>
    <s v="Q9KD"/>
    <s v="S11007"/>
    <n v="1"/>
    <n v="323000000"/>
    <n v="19380000"/>
    <n v="0"/>
    <n v="0"/>
    <n v="0"/>
    <n v="0"/>
    <n v="0"/>
    <n v="0"/>
    <n v="5000000"/>
    <n v="271472727.27272725"/>
    <n v="0.27272725105285645"/>
    <n v="271472727"/>
    <n v="0"/>
    <n v="-281890909"/>
    <n v="16913454.545454543"/>
    <n v="2760181.8181818179"/>
    <n v="-2800000"/>
    <s v=""/>
    <s v=""/>
    <n v="6455454.3636363614"/>
    <n v="0"/>
    <n v="0"/>
    <n v="0"/>
  </r>
  <r>
    <n v="142"/>
    <s v="Vũ Đức Danh"/>
    <s v="Công ty TNHH Thương Mại Xây Dựng Cửa Mạnh Hải"/>
    <s v="Limo"/>
    <s v="RLLVFPNT8TH747213"/>
    <x v="4"/>
    <s v="Q9KD"/>
    <s v="S11007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6400545.4545454541"/>
    <n v="-4200000"/>
    <s v=""/>
    <s v=""/>
    <n v="16893637.090909086"/>
    <n v="0"/>
    <n v="0"/>
    <n v="0"/>
  </r>
  <r>
    <n v="143"/>
    <s v="Nguyễn Phương Linh"/>
    <s v="Lê Đại Dương"/>
    <s v="MPV7"/>
    <s v="RLLVFPTTXTH739732"/>
    <x v="4"/>
    <s v="Q9KD"/>
    <s v="S11007"/>
    <n v="1"/>
    <n v="819000000"/>
    <n v="49140000"/>
    <n v="0"/>
    <n v="0"/>
    <n v="0"/>
    <n v="24570000"/>
    <n v="0.05"/>
    <n v="0"/>
    <n v="0"/>
    <n v="640309090.90909088"/>
    <n v="-9.0909123420715332E-2"/>
    <n v="640309091"/>
    <n v="0"/>
    <n v="-714763636"/>
    <n v="81453272.727272719"/>
    <n v="6403090.9090909082"/>
    <n v="-8000000"/>
    <s v=""/>
    <s v=""/>
    <n v="5401818.6363636274"/>
    <n v="0"/>
    <n v="0"/>
    <n v="15000000"/>
  </r>
  <r>
    <n v="144"/>
    <s v="Vũ Thị Thanh Tuyền"/>
    <s v="Trần Vũ Kiệt"/>
    <s v="VF5"/>
    <s v="RLNV5JSE2TH704242"/>
    <x v="4"/>
    <s v="Q9KD"/>
    <s v="S11007"/>
    <n v="1"/>
    <n v="529000000"/>
    <n v="31740000"/>
    <n v="0"/>
    <n v="0"/>
    <n v="0"/>
    <n v="0"/>
    <n v="0"/>
    <n v="0"/>
    <n v="0"/>
    <n v="452054545.45454544"/>
    <n v="0.45454543828964233"/>
    <n v="452054545"/>
    <n v="0"/>
    <n v="-461672727"/>
    <n v="27700363.636363633"/>
    <n v="4520545.4545454541"/>
    <n v="-9600000"/>
    <s v=""/>
    <s v=""/>
    <n v="13002727.090909086"/>
    <n v="0"/>
    <n v="0"/>
    <n v="0"/>
  </r>
  <r>
    <n v="145"/>
    <s v="Vũ Đức Danh"/>
    <s v="Bùi Thị Ngọc Loan"/>
    <s v="VF3"/>
    <s v="RLNVBL9K2TT713116"/>
    <x v="4"/>
    <s v="Q9KD"/>
    <s v="S11007"/>
    <n v="1"/>
    <n v="315000000"/>
    <n v="18900000"/>
    <n v="0"/>
    <n v="0"/>
    <n v="0"/>
    <n v="9450000"/>
    <n v="0"/>
    <n v="0"/>
    <n v="0"/>
    <n v="260590909.09090906"/>
    <n v="9.0909063816070557E-2"/>
    <n v="260590909"/>
    <n v="0"/>
    <n v="-274909091"/>
    <n v="24741818.18181818"/>
    <n v="2605909.0909090908"/>
    <n v="-6800000"/>
    <s v=""/>
    <s v=""/>
    <n v="6229545.2727272697"/>
    <n v="0"/>
    <n v="0"/>
    <n v="0"/>
  </r>
  <r>
    <n v="146"/>
    <s v="Võ Hoài Nhật"/>
    <s v="Công ty TNHH Vận Tải Hà Quỳnh Anh"/>
    <s v="Limo"/>
    <s v="RLLVFPNT0TH756097"/>
    <x v="4"/>
    <s v="Q9KD"/>
    <s v="S11007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6400545.4545454541"/>
    <n v="-4200000"/>
    <s v=""/>
    <s v=""/>
    <n v="16893637.090909086"/>
    <n v="0"/>
    <n v="0"/>
    <n v="10000000"/>
  </r>
  <r>
    <n v="147"/>
    <s v="Phạm Hoàng Long"/>
    <s v="Phùng Gia Văn"/>
    <s v="Limo"/>
    <s v="RLLVFPNT5TH749663"/>
    <x v="4"/>
    <s v="Q9KD"/>
    <s v="S11007"/>
    <n v="1"/>
    <n v="749000000"/>
    <n v="44940000"/>
    <n v="0"/>
    <n v="0"/>
    <n v="0"/>
    <n v="0"/>
    <n v="0"/>
    <n v="0"/>
    <n v="0"/>
    <n v="640054545.45454538"/>
    <n v="0.45454537868499756"/>
    <n v="640054545"/>
    <n v="0"/>
    <n v="-653672727"/>
    <n v="39220363.636363633"/>
    <n v="6400545.4545454541"/>
    <n v="-16400000"/>
    <s v=""/>
    <s v=""/>
    <n v="15602727.090909086"/>
    <n v="0"/>
    <n v="0"/>
    <n v="0"/>
  </r>
  <r>
    <n v="148"/>
    <s v="Phạm Nguyễn Hằng Ni"/>
    <s v="Nguyễn Hoàng Tú Anh"/>
    <s v="Limo"/>
    <s v="RLLVFPNT3TH716645"/>
    <x v="4"/>
    <s v="Q9KD"/>
    <s v="S11007"/>
    <n v="1"/>
    <n v="749000000"/>
    <n v="44940000"/>
    <n v="0"/>
    <n v="0"/>
    <n v="0"/>
    <n v="22470000"/>
    <n v="0"/>
    <n v="0"/>
    <n v="12000000"/>
    <n v="608718181.81818175"/>
    <n v="-0.18181824684143066"/>
    <n v="608718182"/>
    <n v="0"/>
    <n v="-653672727"/>
    <n v="58830545.454545453"/>
    <n v="6196272.7272727266"/>
    <n v="-10600000"/>
    <s v=""/>
    <s v=""/>
    <n v="9472273.1818181798"/>
    <n v="0"/>
    <n v="0"/>
    <n v="0"/>
  </r>
  <r>
    <n v="149"/>
    <s v="Vòng Tạt Lình"/>
    <s v="Mai Nhật Thái"/>
    <s v="Limo"/>
    <s v="RLLVFPNT7TH750555"/>
    <x v="4"/>
    <s v="Q9KD"/>
    <s v="S11006"/>
    <n v="1"/>
    <n v="749000000"/>
    <n v="44940000"/>
    <n v="0"/>
    <n v="0"/>
    <n v="0"/>
    <n v="0"/>
    <n v="0"/>
    <n v="0"/>
    <n v="10000000"/>
    <n v="630963636.36363626"/>
    <n v="0.36363625526428223"/>
    <n v="630963636"/>
    <n v="0"/>
    <n v="-653672727"/>
    <n v="39220363.636363633"/>
    <n v="6400545.4545454541"/>
    <n v="-7200000"/>
    <s v=""/>
    <s v=""/>
    <n v="15711818.090909086"/>
    <n v="0"/>
    <n v="0"/>
    <n v="0"/>
  </r>
  <r>
    <n v="150"/>
    <s v="Lê Minh Đức"/>
    <s v="NGUYỄN HUY HOÀNG"/>
    <s v="VF 3"/>
    <s v="RLNVBL9K7TT714861"/>
    <x v="2"/>
    <s v="LAKD"/>
    <s v="S11001"/>
    <n v="1"/>
    <n v="302000000"/>
    <n v="18120000"/>
    <n v="0"/>
    <n v="0"/>
    <n v="0"/>
    <n v="0"/>
    <n v="0"/>
    <n v="0"/>
    <n v="0"/>
    <n v="258072727.27272725"/>
    <n v="0.27272725105285645"/>
    <n v="258072727"/>
    <n v="0"/>
    <n v="-263563636"/>
    <n v="15813818.18181818"/>
    <n v="0"/>
    <n v="-4800000"/>
    <s v="TẶNG"/>
    <s v=""/>
    <n v="5522909.1818181798"/>
    <n v="0"/>
    <n v="0"/>
    <n v="0"/>
  </r>
  <r>
    <n v="151"/>
    <s v="VŨ THỊ BÍCH HẰNG"/>
    <s v="ĐOÀN XUÂN TÌNH"/>
    <s v="LIMOGREEN"/>
    <s v="RLLVFPNT3TH704785"/>
    <x v="0"/>
    <s v="SLKD"/>
    <s v="S11001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0"/>
    <n v="-9200000"/>
    <s v=""/>
    <s v=""/>
    <n v="5493091.636363633"/>
    <n v="0"/>
    <n v="0"/>
    <n v="0"/>
  </r>
  <r>
    <n v="152"/>
    <s v="TRẦN MINH HIẾU"/>
    <s v="LÊ THỊ MỸ TUYẾT"/>
    <s v="VF 3"/>
    <s v="RLNVBL9K9TT717289"/>
    <x v="0"/>
    <s v="SLKD"/>
    <s v="S11001"/>
    <n v="1"/>
    <n v="315000000"/>
    <n v="0"/>
    <n v="0"/>
    <n v="7.0000000000000007E-2"/>
    <n v="0"/>
    <n v="0"/>
    <n v="0"/>
    <n v="0"/>
    <n v="6000000"/>
    <n v="280909090.90909088"/>
    <n v="-9.0909123420715332E-2"/>
    <n v="280909091"/>
    <n v="0"/>
    <n v="-274909091"/>
    <n v="0"/>
    <n v="0"/>
    <n v="-1500000"/>
    <s v=""/>
    <s v=""/>
    <n v="4500000"/>
    <n v="0"/>
    <n v="0"/>
    <n v="0"/>
  </r>
  <r>
    <n v="153"/>
    <s v="Nguyễn Hữu Thanh Tú"/>
    <s v="TRẦN THỊ THANH KIỀU"/>
    <s v="MPV 7"/>
    <s v="RLLVFPTT8TH740510"/>
    <x v="3"/>
    <s v="BLKD"/>
    <s v="S11006"/>
    <n v="1"/>
    <n v="819000000"/>
    <n v="49140000"/>
    <n v="0"/>
    <n v="0"/>
    <n v="0"/>
    <n v="24570000"/>
    <n v="0"/>
    <n v="0"/>
    <n v="0"/>
    <n v="677536363.63636363"/>
    <n v="-0.36363637447357178"/>
    <n v="677536364"/>
    <n v="0"/>
    <n v="-714763636"/>
    <n v="64328727.272727266"/>
    <n v="0"/>
    <n v="-16000000"/>
    <s v=""/>
    <s v=""/>
    <n v="11101455.272727266"/>
    <n v="15000000"/>
    <n v="0"/>
    <n v="0"/>
  </r>
  <r>
    <n v="154"/>
    <s v="Bùi Minh Trung"/>
    <s v="NGUYỄN HOÀNG DỦ"/>
    <s v="MPV 7"/>
    <s v="RLLVFPTT7TH732625"/>
    <x v="3"/>
    <s v="BLKD"/>
    <s v="S11006"/>
    <n v="1"/>
    <n v="819000000"/>
    <n v="49140000"/>
    <n v="0"/>
    <n v="0"/>
    <n v="0"/>
    <n v="0"/>
    <n v="0"/>
    <n v="0"/>
    <n v="10000000"/>
    <n v="690781818.18181813"/>
    <n v="0.18181812763214111"/>
    <n v="690781818"/>
    <n v="0"/>
    <n v="-714763636"/>
    <n v="42885818.18181818"/>
    <n v="0"/>
    <n v="-8000000"/>
    <s v="TẶNG"/>
    <s v=""/>
    <n v="10904000.18181818"/>
    <n v="15000000"/>
    <n v="0"/>
    <n v="0"/>
  </r>
  <r>
    <n v="155"/>
    <s v="Lê Thị Kiều My"/>
    <s v="CÔNG TY TNHH ĐẦU TƯ VÀ XÂY DỰNG PHÚC LONG"/>
    <s v="LIMO GREEN"/>
    <s v="RLLVFPNT5TH713441"/>
    <x v="3"/>
    <s v="BLKD"/>
    <s v="S11007"/>
    <n v="1"/>
    <n v="749000000"/>
    <n v="44940000"/>
    <n v="0"/>
    <n v="0"/>
    <n v="0"/>
    <n v="22470000"/>
    <n v="0"/>
    <n v="0"/>
    <n v="10000000"/>
    <n v="610536363.63636363"/>
    <n v="-0.36363637447357178"/>
    <n v="610536364"/>
    <n v="0"/>
    <n v="-653672727"/>
    <n v="58830545.454545453"/>
    <n v="6196272.7272727266"/>
    <n v="-10200000"/>
    <s v=""/>
    <s v=""/>
    <n v="11690455.18181818"/>
    <n v="0"/>
    <n v="0"/>
    <n v="0"/>
  </r>
  <r>
    <n v="156"/>
    <s v="Hoàng Ngọc Tú"/>
    <s v="NGUYỄN HỒ KIẾN VY"/>
    <s v="VF3"/>
    <s v="RLNVBL9K1TT712362"/>
    <x v="3"/>
    <s v="BLKD"/>
    <s v="S11007"/>
    <n v="1"/>
    <n v="315000000"/>
    <n v="18900000"/>
    <n v="0"/>
    <n v="0"/>
    <n v="0"/>
    <n v="9450000"/>
    <n v="0"/>
    <n v="0"/>
    <n v="6000000"/>
    <n v="255136363.63636363"/>
    <n v="-0.36363637447357178"/>
    <n v="255136364"/>
    <n v="0"/>
    <n v="-274909091"/>
    <n v="24741818.18181818"/>
    <n v="2605909.0909090908"/>
    <n v="-1500000"/>
    <s v=""/>
    <s v=""/>
    <n v="6075000.2727272706"/>
    <n v="0"/>
    <n v="0"/>
    <n v="5000000"/>
  </r>
  <r>
    <n v="157"/>
    <s v="Hoàng Ngọc Tú"/>
    <s v="CHU VĂN TÂM"/>
    <s v="LIMO GREEN"/>
    <s v="RLLVFPNT7TH742245"/>
    <x v="3"/>
    <s v="BLKD"/>
    <s v="S11006"/>
    <n v="1"/>
    <n v="749000000"/>
    <n v="44940000"/>
    <n v="0"/>
    <n v="0"/>
    <n v="0"/>
    <n v="22470000"/>
    <n v="0"/>
    <n v="0"/>
    <n v="12000000"/>
    <n v="608718181.81818175"/>
    <n v="-0.18181824684143066"/>
    <n v="608718182"/>
    <n v="0"/>
    <n v="-653672727"/>
    <n v="58830545.454545453"/>
    <n v="0"/>
    <n v="-5600000"/>
    <s v=""/>
    <s v=""/>
    <n v="8276000.4545454532"/>
    <n v="0"/>
    <n v="0"/>
    <n v="10000000"/>
  </r>
  <r>
    <n v="158"/>
    <s v="Hoàng Ngọc Tú"/>
    <s v="LÊ NGỌC KIM QUYÊN"/>
    <s v="VF3"/>
    <s v="RLNVBL9K2TT701502"/>
    <x v="3"/>
    <s v="BLKD"/>
    <s v="S11007"/>
    <n v="1"/>
    <n v="302000000"/>
    <n v="18120000"/>
    <n v="0"/>
    <n v="0"/>
    <n v="0"/>
    <n v="9060000"/>
    <n v="0"/>
    <n v="0"/>
    <n v="0"/>
    <n v="249836363.63636363"/>
    <n v="-0.36363637447357178"/>
    <n v="249836364"/>
    <n v="0"/>
    <n v="-263563636"/>
    <n v="23720727.27272727"/>
    <n v="2498363.6363636362"/>
    <n v="-6400000"/>
    <s v="TẶNG"/>
    <s v=""/>
    <n v="6091818.9090909064"/>
    <n v="0"/>
    <n v="0"/>
    <n v="0"/>
  </r>
  <r>
    <n v="159"/>
    <s v="Trương Hoàng Khả"/>
    <s v="TRẦN TRỌNG NGHĨA"/>
    <s v="VF3"/>
    <s v="RLNVBL9K3TT713934"/>
    <x v="3"/>
    <s v="BLKD"/>
    <s v="S11006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0"/>
    <n v="-6800000"/>
    <s v="TẶNG"/>
    <s v=""/>
    <n v="3967272.4545454532"/>
    <n v="0"/>
    <n v="0"/>
    <n v="0"/>
  </r>
  <r>
    <n v="160"/>
    <s v="Bùi Minh Trung"/>
    <s v="LƯU MINH QUANG"/>
    <s v="VF 8"/>
    <s v="RLLV1MTC8TH744263"/>
    <x v="3"/>
    <s v="BLKD"/>
    <s v="S11007"/>
    <n v="1"/>
    <n v="1019000000"/>
    <n v="0"/>
    <n v="101900000"/>
    <n v="0"/>
    <n v="0"/>
    <n v="30570000"/>
    <n v="0"/>
    <n v="20000000"/>
    <n v="20000000"/>
    <n v="769572727.27272725"/>
    <n v="0.27272725105285645"/>
    <n v="769572727"/>
    <n v="0"/>
    <n v="-875413636"/>
    <n v="135617409.09090909"/>
    <n v="7877545.4545454541"/>
    <n v="-16000000"/>
    <s v="TẶNG"/>
    <s v=""/>
    <n v="21654045.545454547"/>
    <n v="0"/>
    <n v="0"/>
    <n v="0"/>
  </r>
  <r>
    <n v="161"/>
    <s v="Bùi Minh Trung"/>
    <s v="PHẠM VĂN HIỀN"/>
    <s v="VF 5"/>
    <s v="RLNV5JSE8TH706884"/>
    <x v="3"/>
    <s v="BLKD"/>
    <s v="S11006"/>
    <n v="1"/>
    <n v="529000000"/>
    <n v="31740000"/>
    <n v="0"/>
    <n v="0"/>
    <n v="0"/>
    <n v="0"/>
    <n v="0"/>
    <n v="0"/>
    <n v="8400000"/>
    <n v="444418181.81818175"/>
    <n v="-0.18181824684143066"/>
    <n v="444418182"/>
    <n v="0"/>
    <n v="-461672727"/>
    <n v="27700363.636363633"/>
    <n v="0"/>
    <n v="-4560000"/>
    <s v="TẶNG"/>
    <s v=""/>
    <n v="5885818.636363633"/>
    <n v="0"/>
    <n v="0"/>
    <n v="7000000"/>
  </r>
  <r>
    <n v="162"/>
    <s v="Trương Hoàng Khả"/>
    <s v="HUỲNH HỮU THỊNH"/>
    <s v="VF 6"/>
    <s v="RLLVAG8C2TH740140"/>
    <x v="3"/>
    <s v="BLKD"/>
    <s v="S11001"/>
    <n v="1"/>
    <n v="745000000"/>
    <n v="44700000"/>
    <n v="0"/>
    <n v="0"/>
    <n v="0"/>
    <n v="22350000"/>
    <n v="0"/>
    <n v="0"/>
    <n v="12000000"/>
    <n v="605409090.90909088"/>
    <n v="-9.0909123420715332E-2"/>
    <n v="605409091"/>
    <n v="0"/>
    <n v="-650181818"/>
    <n v="58516363.636363633"/>
    <n v="0"/>
    <n v="-4800000"/>
    <s v="TẶNG"/>
    <s v=""/>
    <n v="8943636.636363633"/>
    <n v="0"/>
    <n v="0"/>
    <n v="10000000"/>
  </r>
  <r>
    <n v="163"/>
    <s v="Trần Thanh Hoài"/>
    <s v="NGUYỄN QUỐC TRUNG"/>
    <s v="VF3"/>
    <s v="RLNVBL9K8TT715095"/>
    <x v="3"/>
    <s v="BLKD"/>
    <s v="S11001"/>
    <n v="1"/>
    <n v="315000000"/>
    <n v="18900000"/>
    <n v="0"/>
    <n v="0"/>
    <n v="0"/>
    <n v="0"/>
    <n v="0"/>
    <n v="0"/>
    <n v="6000000"/>
    <n v="263727272.72727272"/>
    <n v="-0.27272728085517883"/>
    <n v="263727273"/>
    <n v="0"/>
    <n v="-274909091"/>
    <n v="16494545.454545453"/>
    <n v="0"/>
    <n v="-2000000"/>
    <s v=""/>
    <s v=""/>
    <n v="3312727.4545454532"/>
    <n v="0"/>
    <n v="0"/>
    <n v="0"/>
  </r>
  <r>
    <n v="164"/>
    <s v="Bùi Minh Trung"/>
    <s v="NGUYỄN KHÁNH MINH"/>
    <s v="VF 7"/>
    <s v="RLLV3EKB3TH728402"/>
    <x v="3"/>
    <s v="BLKD"/>
    <s v="S11007"/>
    <n v="1"/>
    <n v="939000000"/>
    <n v="56340000"/>
    <n v="0"/>
    <n v="0"/>
    <n v="0"/>
    <n v="28170000"/>
    <n v="0"/>
    <n v="0"/>
    <n v="10000000"/>
    <n v="767718181.81818175"/>
    <n v="-0.18181824684143066"/>
    <n v="767718182"/>
    <n v="0"/>
    <n v="-815222727"/>
    <n v="73370045.454545453"/>
    <n v="7768090.9090909082"/>
    <n v="-10800000"/>
    <s v="TẶNG"/>
    <s v=""/>
    <n v="22833591.36363636"/>
    <n v="0"/>
    <n v="0"/>
    <n v="15000000"/>
  </r>
  <r>
    <n v="165"/>
    <s v="Bùi Minh Trung"/>
    <s v="NGUYỄN THỊ NGỌC NGÂN"/>
    <s v="VF3"/>
    <s v="RLNVBL9K4TT716387"/>
    <x v="3"/>
    <s v="BLKD"/>
    <s v="S11006"/>
    <n v="1"/>
    <n v="323000000"/>
    <n v="19380000"/>
    <n v="0"/>
    <n v="0"/>
    <n v="0"/>
    <n v="9690000"/>
    <n v="0"/>
    <n v="0"/>
    <n v="6000000"/>
    <n v="261754545.45454544"/>
    <n v="0.45454543828964233"/>
    <n v="261754545"/>
    <n v="0"/>
    <n v="-281890909"/>
    <n v="25370181.818181816"/>
    <n v="0"/>
    <n v="-1500000"/>
    <s v="TẶNG"/>
    <s v=""/>
    <n v="3733817.8181818165"/>
    <n v="0"/>
    <n v="0"/>
    <n v="0"/>
  </r>
  <r>
    <n v="166"/>
    <s v="Trần Thanh Hoài"/>
    <s v="NGUYỄN HOÀI NAM"/>
    <s v="VF 5"/>
    <s v="RLNV5JSE4TH717266"/>
    <x v="3"/>
    <s v="BLKD"/>
    <s v="S11006"/>
    <n v="1"/>
    <n v="529000000"/>
    <n v="31740000"/>
    <n v="0"/>
    <n v="0"/>
    <n v="0"/>
    <n v="0"/>
    <n v="0"/>
    <n v="0"/>
    <n v="0"/>
    <n v="452054545.45454544"/>
    <n v="0.45454543828964233"/>
    <n v="452054545"/>
    <n v="0"/>
    <n v="-461672727"/>
    <n v="27700363.636363633"/>
    <n v="0"/>
    <n v="-9600000"/>
    <s v=""/>
    <s v=""/>
    <n v="8482181.636363633"/>
    <n v="0"/>
    <n v="0"/>
    <n v="0"/>
  </r>
  <r>
    <n v="167"/>
    <s v="Trần Thanh Hoài"/>
    <s v="PHẠM VĂN LÈO"/>
    <s v="LIMO GREEN"/>
    <s v="RLLVFPNT1TH749711"/>
    <x v="3"/>
    <s v="BLKD"/>
    <s v="S11006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0"/>
    <n v="-10600000"/>
    <s v="TẶNG"/>
    <s v=""/>
    <n v="4093091.636363633"/>
    <n v="0"/>
    <n v="0"/>
    <n v="0"/>
  </r>
  <r>
    <n v="168"/>
    <s v="Võ Thị Phương Linh"/>
    <s v="PHẠM THANH THÁI"/>
    <s v="LIMO GREEN"/>
    <s v="RLLVFPNTXTH743745"/>
    <x v="3"/>
    <s v="BLKD"/>
    <s v="S11006"/>
    <n v="1"/>
    <n v="749000000"/>
    <n v="44940000"/>
    <n v="0"/>
    <n v="0"/>
    <n v="0"/>
    <n v="22470000"/>
    <n v="0"/>
    <n v="0"/>
    <n v="0"/>
    <n v="619627272.72727263"/>
    <n v="-0.272727370262146"/>
    <n v="619627273"/>
    <n v="0"/>
    <n v="-653672727"/>
    <n v="58830545.454545453"/>
    <n v="0"/>
    <n v="-15200000"/>
    <s v=""/>
    <s v=""/>
    <n v="9585091.4545454532"/>
    <n v="0"/>
    <n v="0"/>
    <n v="0"/>
  </r>
  <r>
    <n v="169"/>
    <s v="Trương Hoàng Khả"/>
    <s v="NGUYỄN THỊ THU TRÚC"/>
    <s v="VF3"/>
    <s v="RLNVBL9K1TT714046"/>
    <x v="3"/>
    <s v="BLKD"/>
    <s v="S11001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0"/>
    <n v="-5100000"/>
    <s v=""/>
    <s v=""/>
    <n v="5667272.4545454532"/>
    <n v="0"/>
    <n v="0"/>
    <n v="0"/>
  </r>
  <r>
    <n v="170"/>
    <s v="Nguyễn Hữu Thanh Tú"/>
    <s v="NGUYỄN THÀNH GIÀU"/>
    <s v="VF3"/>
    <s v="RLNVBL9K7TT713919"/>
    <x v="3"/>
    <s v="BLKD"/>
    <s v="S11006"/>
    <n v="1"/>
    <n v="302000000"/>
    <n v="18120000"/>
    <n v="0"/>
    <n v="0"/>
    <n v="0"/>
    <n v="9060000"/>
    <n v="0"/>
    <n v="0"/>
    <n v="0"/>
    <n v="249836363.63636363"/>
    <n v="-0.36363637447357178"/>
    <n v="249836364"/>
    <n v="0"/>
    <n v="-263563636"/>
    <n v="23720727.27272727"/>
    <n v="0"/>
    <n v="-4800000"/>
    <s v="TẶNG"/>
    <s v=""/>
    <n v="5193455.2727272697"/>
    <n v="0"/>
    <n v="0"/>
    <n v="0"/>
  </r>
  <r>
    <n v="171"/>
    <s v="Bùi Minh Trung"/>
    <s v="NGUYỄN VĂN THÀNH"/>
    <s v="EC VAN"/>
    <s v="RNXVGRPK0TT710607"/>
    <x v="3"/>
    <s v="BLKD"/>
    <s v="S11006"/>
    <n v="1"/>
    <n v="305000000"/>
    <n v="18300000"/>
    <n v="0"/>
    <n v="0"/>
    <n v="0"/>
    <n v="0"/>
    <n v="0"/>
    <n v="0"/>
    <n v="2000000"/>
    <n v="258818181.81818178"/>
    <n v="-0.18181821703910828"/>
    <n v="258818182"/>
    <n v="0"/>
    <n v="-266181818"/>
    <n v="15970909.09090909"/>
    <n v="0"/>
    <n v="-3300000"/>
    <s v="TẶNG"/>
    <s v=""/>
    <n v="5307273.0909090899"/>
    <n v="0"/>
    <n v="0"/>
    <n v="5000000"/>
  </r>
  <r>
    <n v="172"/>
    <s v="Bùi Minh Trung"/>
    <s v="MAI THỊ THANH HẰNG"/>
    <s v="VF3"/>
    <s v="RLNVBL9K3TT715909"/>
    <x v="3"/>
    <s v="BLKD"/>
    <s v="S11006"/>
    <n v="1"/>
    <n v="302000000"/>
    <n v="18120000"/>
    <n v="0"/>
    <n v="0"/>
    <n v="0"/>
    <n v="0"/>
    <n v="0"/>
    <n v="0"/>
    <n v="0"/>
    <n v="258072727.27272725"/>
    <n v="0.27272725105285645"/>
    <n v="258072727"/>
    <n v="0"/>
    <n v="-263563636"/>
    <n v="15813818.18181818"/>
    <n v="0"/>
    <n v="-4800000"/>
    <s v="TẶNG"/>
    <s v=""/>
    <n v="5522909.1818181798"/>
    <n v="0"/>
    <n v="0"/>
    <n v="0"/>
  </r>
  <r>
    <n v="173"/>
    <s v="Võ Thị Phương Linh"/>
    <s v="HUỲNH LÊ TRỌNG BẰNG"/>
    <s v="VF 6"/>
    <s v="RLLVAG8C9TH746100"/>
    <x v="3"/>
    <s v="BLKD"/>
    <s v="S11006"/>
    <n v="1"/>
    <n v="745000000"/>
    <n v="44700000"/>
    <n v="0"/>
    <n v="0"/>
    <n v="0"/>
    <n v="0"/>
    <n v="0"/>
    <n v="0"/>
    <n v="0"/>
    <n v="636636363.63636363"/>
    <n v="-0.36363637447357178"/>
    <n v="636636364"/>
    <n v="0"/>
    <n v="-650181818"/>
    <n v="39010909.090909086"/>
    <n v="0"/>
    <n v="-16000000"/>
    <s v="TẶNG"/>
    <s v=""/>
    <n v="9465455.0909090862"/>
    <n v="0"/>
    <n v="0"/>
    <n v="0"/>
  </r>
  <r>
    <n v="174"/>
    <s v="Hoàng Ngọc Tú"/>
    <s v="VÕ THANH TUẤN"/>
    <s v="VF 6"/>
    <s v="RLLVAG8C2TH738260"/>
    <x v="3"/>
    <s v="BLKD"/>
    <s v="S11006"/>
    <n v="1"/>
    <n v="745000000"/>
    <n v="44700000"/>
    <n v="0"/>
    <n v="0"/>
    <n v="0"/>
    <n v="22350000"/>
    <n v="0"/>
    <n v="0"/>
    <n v="12000000"/>
    <n v="605409090.90909088"/>
    <n v="-9.0909123420715332E-2"/>
    <n v="605409091"/>
    <n v="0"/>
    <n v="-650181818"/>
    <n v="58516363.636363633"/>
    <n v="0"/>
    <n v="-4800000"/>
    <s v="TẶNG"/>
    <s v=""/>
    <n v="8943636.636363633"/>
    <n v="0"/>
    <n v="0"/>
    <n v="10000000"/>
  </r>
  <r>
    <n v="175"/>
    <s v="Lê Thị Kiều My"/>
    <s v="PHAN THỊ QUỲNH LOAN"/>
    <s v="MPV 7"/>
    <s v="RLLVFPTT3TH747784"/>
    <x v="3"/>
    <s v="BLKD"/>
    <s v="S11001"/>
    <n v="1"/>
    <n v="819000000"/>
    <n v="49140000"/>
    <n v="0"/>
    <n v="0"/>
    <n v="0"/>
    <n v="0"/>
    <n v="0"/>
    <n v="0"/>
    <n v="0"/>
    <n v="699872727.27272725"/>
    <n v="0.27272725105285645"/>
    <n v="699872727"/>
    <n v="0"/>
    <n v="-714763636"/>
    <n v="42885818.18181818"/>
    <n v="0"/>
    <n v="-12000000"/>
    <s v="TẶNG"/>
    <s v=""/>
    <n v="15994909.18181818"/>
    <n v="15000000"/>
    <n v="0"/>
    <n v="0"/>
  </r>
  <r>
    <n v="176"/>
    <s v="Trương Hoàng Khả"/>
    <s v="LÊ THANH KHẢI"/>
    <s v="VF 6"/>
    <s v="RLLVAG8C6TH747656"/>
    <x v="3"/>
    <s v="BLKD"/>
    <s v="S11001"/>
    <n v="1"/>
    <n v="745000000"/>
    <n v="44700000"/>
    <n v="0"/>
    <n v="0"/>
    <n v="0"/>
    <n v="0"/>
    <n v="0"/>
    <n v="0"/>
    <n v="12000000"/>
    <n v="625727272.72727263"/>
    <n v="-0.272727370262146"/>
    <n v="625727273"/>
    <n v="0"/>
    <n v="-650181818"/>
    <n v="39010909.090909086"/>
    <n v="0"/>
    <n v="-4800000"/>
    <s v="TẶNG"/>
    <s v=""/>
    <n v="9756364.0909090862"/>
    <n v="0"/>
    <n v="0"/>
    <n v="0"/>
  </r>
  <r>
    <n v="177"/>
    <s v="Nguyễn Phước Huy"/>
    <s v="MAI THỊ NGỌC TRÂN"/>
    <s v="VF3"/>
    <s v="RLNVBL9K4TT715739"/>
    <x v="3"/>
    <s v=""/>
    <s v="S11001"/>
    <n v="1"/>
    <n v="302000000"/>
    <n v="18120000"/>
    <n v="0"/>
    <n v="0"/>
    <n v="0"/>
    <n v="0"/>
    <n v="0"/>
    <n v="0"/>
    <n v="6000000"/>
    <n v="252618181.81818178"/>
    <n v="252618181.81818178"/>
    <n v="0"/>
    <n v="0"/>
    <n v="0"/>
    <n v="15813818.18181818"/>
    <n v="0"/>
    <n v="-1200000"/>
    <s v=""/>
    <s v=""/>
    <n v="14613818.18181818"/>
    <n v="0"/>
    <n v="0"/>
    <n v="0"/>
  </r>
  <r>
    <n v="178"/>
    <s v="Nguyễn Phương Linh"/>
    <s v="Đặng Quang Định"/>
    <s v="VF3"/>
    <s v="RLNVBL9K9ST717551"/>
    <x v="4"/>
    <s v="Q9KD"/>
    <s v="S11007"/>
    <n v="1"/>
    <n v="310000000"/>
    <n v="18600000"/>
    <n v="0"/>
    <n v="0"/>
    <n v="0"/>
    <n v="9300000"/>
    <n v="0"/>
    <n v="18000000"/>
    <n v="0"/>
    <n v="240090909.09090906"/>
    <n v="9.0909063816070557E-2"/>
    <n v="240090909"/>
    <n v="0"/>
    <n v="-270545455"/>
    <n v="40058181.818181813"/>
    <n v="2400909.0909090908"/>
    <n v="-6400000"/>
    <s v=""/>
    <s v=""/>
    <n v="5604544.9090909027"/>
    <n v="0"/>
    <n v="0"/>
    <n v="0"/>
  </r>
  <r>
    <n v="179"/>
    <s v="Trịnh Thị Thu Huyền"/>
    <s v="Võ Thụy Thu Hà"/>
    <s v="VF3"/>
    <s v="RLNVBL9KXTT716605"/>
    <x v="4"/>
    <s v="Q9KD"/>
    <s v="S11007"/>
    <n v="1"/>
    <n v="323000000"/>
    <n v="19380000"/>
    <n v="0"/>
    <n v="0"/>
    <n v="0"/>
    <n v="9690000"/>
    <n v="0.05"/>
    <n v="0"/>
    <n v="0"/>
    <n v="252527272.72727272"/>
    <n v="-0.27272728085517883"/>
    <n v="252527273"/>
    <n v="0"/>
    <n v="-281890909"/>
    <n v="32123818.18181818"/>
    <n v="2525272.7272727271"/>
    <n v="-680000"/>
    <s v=""/>
    <s v=""/>
    <n v="4605454.9090909064"/>
    <n v="0"/>
    <n v="0"/>
    <n v="0"/>
  </r>
  <r>
    <n v="180"/>
    <s v="Phạm Hoàng Long"/>
    <s v="Nguyễn Thanh Sang"/>
    <s v="Limo"/>
    <s v="RLLVFPNT7TH704742"/>
    <x v="4"/>
    <s v="Q9KD"/>
    <s v="S11001"/>
    <n v="1"/>
    <n v="749000000"/>
    <n v="44940000"/>
    <n v="0"/>
    <n v="0"/>
    <n v="0"/>
    <n v="0"/>
    <n v="0"/>
    <n v="0"/>
    <n v="0"/>
    <n v="640054545.45454538"/>
    <n v="0.45454537868499756"/>
    <n v="640054545"/>
    <n v="0"/>
    <n v="-653672727"/>
    <n v="39220363.636363633"/>
    <n v="0"/>
    <n v="-16400000"/>
    <s v=""/>
    <s v=""/>
    <n v="9202181.636363633"/>
    <n v="0"/>
    <n v="0"/>
    <n v="0"/>
  </r>
  <r>
    <n v="181"/>
    <s v="Vòng Tạt Lình"/>
    <s v="Phạm Thu Hà"/>
    <s v="Limo"/>
    <s v="RLLVFPNT3SH894909"/>
    <x v="4"/>
    <s v="Q9KD"/>
    <s v="S11007"/>
    <n v="1"/>
    <n v="749000000"/>
    <n v="44940000"/>
    <n v="0"/>
    <n v="0"/>
    <n v="5.0000000000000001E-3"/>
    <n v="0"/>
    <n v="0"/>
    <n v="15000000"/>
    <n v="10000000"/>
    <n v="614195181.81818175"/>
    <n v="-0.18181824684143066"/>
    <n v="614195182"/>
    <n v="0"/>
    <n v="-653672727"/>
    <n v="55318079.999999993"/>
    <n v="6232860.9090909082"/>
    <n v="-14000000"/>
    <s v=""/>
    <s v=""/>
    <n v="8073395.9090908989"/>
    <n v="0"/>
    <n v="0"/>
    <n v="0"/>
  </r>
  <r>
    <n v="182"/>
    <s v="Phạm Nguyễn Viết Khánh"/>
    <s v="Công ty TNHH Giấy Xuân Mai"/>
    <s v="MPV7"/>
    <s v="RLLVFPTT4TH740665"/>
    <x v="4"/>
    <s v="Q9KD"/>
    <s v="S11001"/>
    <n v="1"/>
    <n v="819000000"/>
    <n v="49140000"/>
    <n v="0"/>
    <n v="0"/>
    <n v="0"/>
    <n v="24570000"/>
    <n v="0"/>
    <n v="0"/>
    <n v="0"/>
    <n v="677536363.63636363"/>
    <n v="-0.36363637447357178"/>
    <n v="677536364"/>
    <n v="0"/>
    <n v="-714763636"/>
    <n v="64328727.272727266"/>
    <n v="0"/>
    <n v="-16000000"/>
    <s v=""/>
    <s v=""/>
    <n v="11101455.272727266"/>
    <n v="0"/>
    <n v="15000000"/>
    <n v="0"/>
  </r>
  <r>
    <n v="183"/>
    <s v="Võ Hoài Nhật"/>
    <s v="Nguyễn Thị Kim Ngân"/>
    <s v="VF3"/>
    <s v="RLNVBL9KXTT715969"/>
    <x v="4"/>
    <s v="Q9KD"/>
    <s v="S11008"/>
    <n v="1"/>
    <n v="315000000"/>
    <n v="18900000"/>
    <n v="0"/>
    <n v="0"/>
    <n v="0"/>
    <n v="0"/>
    <n v="0"/>
    <n v="0"/>
    <n v="0"/>
    <n v="269181818.18181819"/>
    <n v="0.18181818723678589"/>
    <n v="269181818"/>
    <n v="0"/>
    <n v="-274909091"/>
    <n v="16494545.454545453"/>
    <n v="0"/>
    <n v="-6800000"/>
    <s v=""/>
    <s v=""/>
    <n v="3967272.4545454532"/>
    <n v="0"/>
    <n v="0"/>
    <n v="0"/>
  </r>
  <r>
    <n v="184"/>
    <s v="Vũ Thị Thanh Tuyền"/>
    <s v="Trương Bồ Thái Dương"/>
    <s v="VF6"/>
    <s v="RLLVAGND0TH731286"/>
    <x v="4"/>
    <s v="Q9KD"/>
    <s v="S11001"/>
    <n v="1"/>
    <n v="689000000"/>
    <n v="41340000"/>
    <n v="0"/>
    <n v="0"/>
    <n v="0"/>
    <n v="20670000"/>
    <n v="0"/>
    <n v="0"/>
    <n v="10000000"/>
    <n v="560900000"/>
    <n v="0"/>
    <n v="560900000"/>
    <n v="0"/>
    <n v="-601309091"/>
    <n v="54117818.18181818"/>
    <n v="0"/>
    <n v="-6000000"/>
    <s v=""/>
    <s v=""/>
    <n v="7708727.1818181798"/>
    <n v="0"/>
    <n v="0"/>
    <n v="0"/>
  </r>
  <r>
    <n v="185"/>
    <s v="Nguyễn Minh Trí"/>
    <s v="Phan Ngọc Huy"/>
    <s v="VF6"/>
    <s v="RLLVAG8C3TH753253"/>
    <x v="4"/>
    <s v="Q9KD"/>
    <s v="S11007"/>
    <n v="1"/>
    <n v="745000000"/>
    <n v="0"/>
    <n v="0"/>
    <n v="7.0000000000000007E-2"/>
    <n v="0"/>
    <n v="22350000"/>
    <n v="0"/>
    <n v="0"/>
    <n v="10000000"/>
    <n v="647863636.36363626"/>
    <n v="0.36363625526428223"/>
    <n v="647863636"/>
    <n v="0"/>
    <n v="-650181818"/>
    <n v="19505454.545454543"/>
    <n v="6569545.4545454541"/>
    <n v="-6000000"/>
    <s v=""/>
    <s v=""/>
    <n v="17756817.999999996"/>
    <n v="0"/>
    <n v="0"/>
    <n v="10000000"/>
  </r>
  <r>
    <n v="186"/>
    <s v="Vũ Đức Danh"/>
    <s v="Nguyễn Phạm Ngọc Oanh"/>
    <s v="MPV7"/>
    <s v="RLLVFPTT0TH723331"/>
    <x v="4"/>
    <s v="Q9KD"/>
    <s v="S11001"/>
    <n v="1"/>
    <n v="819000000"/>
    <n v="49140000"/>
    <n v="0"/>
    <n v="0"/>
    <n v="0"/>
    <n v="24570000"/>
    <n v="0"/>
    <n v="0"/>
    <n v="7000000"/>
    <n v="671172727.27272725"/>
    <n v="0.27272725105285645"/>
    <n v="671172727"/>
    <n v="0"/>
    <n v="-714763636"/>
    <n v="64328727.272727266"/>
    <n v="0"/>
    <n v="-10400000"/>
    <s v=""/>
    <s v=""/>
    <n v="10337818.272727266"/>
    <n v="0"/>
    <n v="0"/>
    <n v="0"/>
  </r>
  <r>
    <n v="187"/>
    <s v="Nguyễn Minh Trí"/>
    <s v="Nguyễn Thị Kim Bình"/>
    <s v="Limo"/>
    <s v="RLLVFPNT8TH757630"/>
    <x v="4"/>
    <s v="Q9KD"/>
    <s v="S11001"/>
    <n v="1"/>
    <n v="749000000"/>
    <n v="44940000"/>
    <n v="0"/>
    <n v="0"/>
    <n v="0"/>
    <n v="22470000"/>
    <n v="0"/>
    <n v="0"/>
    <n v="12000000"/>
    <n v="608718181.81818175"/>
    <n v="-0.18181824684143066"/>
    <n v="608718182"/>
    <n v="0"/>
    <n v="-653672727"/>
    <n v="58830545.454545453"/>
    <n v="0"/>
    <n v="-9200000"/>
    <s v=""/>
    <s v=""/>
    <n v="4676000.4545454532"/>
    <n v="0"/>
    <n v="0"/>
    <n v="0"/>
  </r>
  <r>
    <n v="188"/>
    <s v="Nguyễn Thị Phương Anh"/>
    <s v="Tạ Quốc Hưng"/>
    <s v="MPV7"/>
    <s v="RLLVFPTT6TH723205"/>
    <x v="4"/>
    <s v="Q9KD"/>
    <s v="S11001"/>
    <n v="1"/>
    <n v="819000000"/>
    <n v="49140000"/>
    <n v="0"/>
    <n v="0"/>
    <n v="0.01"/>
    <n v="24570000"/>
    <n v="0"/>
    <n v="0"/>
    <n v="0"/>
    <n v="670897363.63636363"/>
    <n v="-0.36363637447357178"/>
    <n v="670897364"/>
    <n v="0"/>
    <n v="-714763636"/>
    <n v="70702167.272727266"/>
    <n v="0"/>
    <n v="-16000000"/>
    <s v=""/>
    <s v=""/>
    <n v="10835895.272727266"/>
    <n v="0"/>
    <n v="0"/>
    <n v="15000000"/>
  </r>
  <r>
    <n v="189"/>
    <s v="Cao Văn Công"/>
    <s v="Công ty Cổ Phần Đầu Tư Đông Hòa Design"/>
    <s v="MPV7"/>
    <s v="RLLVFPTT7TH735511"/>
    <x v="4"/>
    <s v=""/>
    <s v="S11007"/>
    <n v="1"/>
    <n v="819000000"/>
    <n v="49140000"/>
    <n v="0"/>
    <n v="0"/>
    <n v="0"/>
    <n v="24570000"/>
    <n v="0"/>
    <n v="0"/>
    <n v="0"/>
    <n v="677536363.63636363"/>
    <n v="677536363.63636363"/>
    <n v="0"/>
    <n v="0"/>
    <n v="0"/>
    <n v="64328727.272727266"/>
    <n v="6775363.6363636358"/>
    <n v="-16000000"/>
    <s v=""/>
    <s v=""/>
    <n v="55104090.909090906"/>
    <n v="0"/>
    <n v="15000000"/>
    <n v="10000000"/>
  </r>
  <r>
    <n v="190"/>
    <s v="HUỲNH THIÊN ĐỨC"/>
    <s v="NGUYỄN THỊ BÍCH HUỆ"/>
    <s v="Limo"/>
    <s v="RLLVFPNT8TH745476"/>
    <x v="1"/>
    <s v="QTKD"/>
    <s v="S11007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6400545.4545454541"/>
    <n v="-10600000"/>
    <s v=""/>
    <s v=""/>
    <n v="10493637.090909086"/>
    <n v="0"/>
    <n v="3900000"/>
    <n v="0"/>
  </r>
  <r>
    <n v="191"/>
    <s v="NGUYỄN TRUNG HIẾU T1"/>
    <s v="HOÀNG PHÚ LÂM"/>
    <s v="VF5"/>
    <s v="RLNV5JSE9SH889579"/>
    <x v="1"/>
    <s v="QTKD"/>
    <s v="S11007"/>
    <n v="1"/>
    <n v="529000000"/>
    <n v="0"/>
    <n v="0"/>
    <n v="7.0000000000000007E-2"/>
    <n v="0"/>
    <n v="0"/>
    <n v="0"/>
    <n v="15000000"/>
    <n v="0"/>
    <n v="467272727.27272725"/>
    <n v="0.27272725105285645"/>
    <n v="467272727"/>
    <n v="0"/>
    <n v="-466481818"/>
    <n v="17900000"/>
    <n v="4672727.2727272725"/>
    <n v="-9600000"/>
    <s v=""/>
    <s v=""/>
    <n v="13763636.272727273"/>
    <n v="0"/>
    <n v="0"/>
    <n v="0"/>
  </r>
  <r>
    <n v="192"/>
    <s v="PHẠM TRUNG KIÊN"/>
    <s v="HUỲNH NGỌC ĐIỆP"/>
    <s v="Limo"/>
    <s v="RLLVFPNTXTH753966"/>
    <x v="1"/>
    <s v="QTKD"/>
    <s v="S11001"/>
    <n v="1"/>
    <n v="749000000"/>
    <n v="44940000"/>
    <n v="0"/>
    <n v="0"/>
    <n v="0"/>
    <n v="22470000"/>
    <n v="0"/>
    <n v="0"/>
    <n v="12000000"/>
    <n v="608718181.81818175"/>
    <n v="-0.18181824684143066"/>
    <n v="608718182"/>
    <n v="0"/>
    <n v="-653672727"/>
    <n v="58830545.454545453"/>
    <n v="0"/>
    <n v="-4200000"/>
    <s v=""/>
    <s v=""/>
    <n v="9676000.4545454532"/>
    <n v="0"/>
    <n v="0"/>
    <n v="10000000"/>
  </r>
  <r>
    <n v="193"/>
    <s v="NGUYỄN HỮU ĐỨC"/>
    <s v="PHẠM ĐĂNG NAM"/>
    <s v="VF6"/>
    <s v="RLLVAGND2TH736666"/>
    <x v="1"/>
    <s v="QTKD"/>
    <s v="S11001"/>
    <n v="1"/>
    <n v="689000000"/>
    <n v="41340000"/>
    <n v="0"/>
    <n v="0"/>
    <n v="0"/>
    <n v="20670000"/>
    <n v="0"/>
    <n v="0"/>
    <n v="0"/>
    <n v="569990909.090909"/>
    <n v="9.0909004211425781E-2"/>
    <n v="569990909"/>
    <n v="0"/>
    <n v="-601309091"/>
    <n v="54117818.18181818"/>
    <n v="0"/>
    <n v="-12000000"/>
    <s v=""/>
    <s v=""/>
    <n v="10799636.18181818"/>
    <n v="0"/>
    <n v="0"/>
    <n v="0"/>
  </r>
  <r>
    <n v="194"/>
    <s v="TRẦN ĐẶNG ANH HUY"/>
    <s v="VŨ ĐỨC SANG"/>
    <s v="Limo"/>
    <s v="RLLVFPNT7TH758459"/>
    <x v="1"/>
    <s v="QTKD"/>
    <s v="S11001"/>
    <n v="1"/>
    <n v="749000000"/>
    <n v="0"/>
    <n v="0"/>
    <n v="7.0000000000000007E-2"/>
    <n v="0"/>
    <n v="22470000"/>
    <n v="0"/>
    <n v="0"/>
    <n v="12000000"/>
    <n v="649572727.27272725"/>
    <n v="0.27272725105285645"/>
    <n v="649572727"/>
    <n v="0"/>
    <n v="-653672727"/>
    <n v="19610181.818181816"/>
    <n v="0"/>
    <n v="-4200000"/>
    <s v=""/>
    <s v=""/>
    <n v="11310181.818181816"/>
    <n v="0"/>
    <n v="0"/>
    <n v="0"/>
  </r>
  <r>
    <n v="195"/>
    <s v="NGUYỄN HUỲNH DUY KHAN"/>
    <s v="CÔNG TY TNHH PHÒNG KHÁM QUỐC TÊ CHUYÊN KHOA RĂNG HÀM MẶT LAZA BÌNH DƯƠNG"/>
    <s v="Limo"/>
    <s v="RLLVFPNT6TH758582"/>
    <x v="1"/>
    <s v="QTKD"/>
    <s v="S11001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0"/>
    <n v="-4200000"/>
    <s v=""/>
    <s v=""/>
    <n v="10493091.636363633"/>
    <n v="0"/>
    <n v="0"/>
    <n v="0"/>
  </r>
  <r>
    <n v="196"/>
    <s v="NGUYỄN HUỲNH DUY KHAN"/>
    <s v="CÔNG TY TNHH PHÒNG KHÁM QUỐC TẾ RĂNG HÀM MẶT LAZA BIÊN HOÀ"/>
    <s v="Limo"/>
    <s v="RLLVFPNT5TH757505"/>
    <x v="1"/>
    <s v="QTKD"/>
    <s v="S11001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0"/>
    <n v="-4200000"/>
    <s v=""/>
    <s v=""/>
    <n v="10493091.636363633"/>
    <n v="0"/>
    <n v="0"/>
    <n v="0"/>
  </r>
  <r>
    <n v="197"/>
    <s v="TRẦN ĐẶNG ANH HUY"/>
    <s v="NGÔ THẾ ĐỨC"/>
    <s v="Limo"/>
    <s v="RLLVFPNT6TH749588"/>
    <x v="1"/>
    <s v="QTKD"/>
    <s v="S11007"/>
    <n v="1"/>
    <n v="749000000"/>
    <n v="0"/>
    <n v="0"/>
    <n v="7.0000000000000007E-2"/>
    <n v="0"/>
    <n v="0"/>
    <n v="0"/>
    <n v="0"/>
    <n v="12000000"/>
    <n v="670000000"/>
    <n v="0"/>
    <n v="670000000"/>
    <n v="0"/>
    <n v="-653672727"/>
    <n v="0"/>
    <n v="6809090.9090909082"/>
    <n v="-7200000"/>
    <s v=""/>
    <s v=""/>
    <n v="15936363.909090906"/>
    <n v="0"/>
    <n v="0"/>
    <n v="0"/>
  </r>
  <r>
    <n v="198"/>
    <s v="LÊ THANH THUỶ"/>
    <s v="NGUYỄN HỮU HƯỞNG"/>
    <s v="VF MPV 7"/>
    <s v="RLLVFPTT7TH747741"/>
    <x v="1"/>
    <s v="QTKD"/>
    <s v="S11001"/>
    <n v="1"/>
    <n v="819000000"/>
    <n v="49140000"/>
    <n v="0"/>
    <n v="0"/>
    <n v="0"/>
    <n v="0"/>
    <n v="0"/>
    <n v="0"/>
    <n v="15000000"/>
    <n v="686236363.63636363"/>
    <n v="-0.36363637447357178"/>
    <n v="686236364"/>
    <n v="0"/>
    <n v="-714763636"/>
    <n v="42885818.18181818"/>
    <n v="0"/>
    <n v="-3000000"/>
    <s v=""/>
    <s v=""/>
    <n v="11358546.18181818"/>
    <n v="0"/>
    <n v="25000000"/>
    <n v="10000000"/>
  </r>
  <r>
    <n v="199"/>
    <s v="LÊ THANH THUỶ"/>
    <s v="KHA KIM NGÂN"/>
    <s v="VF MPV 7"/>
    <s v="RLLVFPTT8TH751183"/>
    <x v="1"/>
    <s v="QTKD"/>
    <s v="S11001"/>
    <n v="1"/>
    <n v="819000000"/>
    <n v="49140000"/>
    <n v="0"/>
    <n v="0"/>
    <n v="0"/>
    <n v="24570000"/>
    <n v="0"/>
    <n v="0"/>
    <n v="0"/>
    <n v="677536363.63636363"/>
    <n v="-0.36363637447357178"/>
    <n v="677536364"/>
    <n v="0"/>
    <n v="-714763636"/>
    <n v="64328727.272727266"/>
    <n v="0"/>
    <n v="-16000000"/>
    <s v=""/>
    <s v=""/>
    <n v="11101455.272727266"/>
    <n v="0"/>
    <n v="15000000"/>
    <n v="0"/>
  </r>
  <r>
    <n v="200"/>
    <s v="PHẠM TRUNG KIÊN"/>
    <s v="CÔNG TY TNHH PHÒNG KHÁM CHUYÊN KHOA RĂNG HÀM MẶT LAZA SÀI GÒN"/>
    <s v="Limo"/>
    <s v="RLLVFPNT2TH758644"/>
    <x v="1"/>
    <s v="QTKD"/>
    <s v="S11001"/>
    <n v="1"/>
    <n v="749000000"/>
    <n v="44940000"/>
    <n v="0"/>
    <n v="0"/>
    <n v="0"/>
    <n v="0"/>
    <n v="0"/>
    <n v="0"/>
    <n v="12000000"/>
    <n v="629145454.5454545"/>
    <n v="-0.45454549789428711"/>
    <n v="629145455"/>
    <n v="0"/>
    <n v="-653672727"/>
    <n v="39220363.636363633"/>
    <n v="0"/>
    <n v="-4200000"/>
    <s v=""/>
    <s v=""/>
    <n v="10493091.636363633"/>
    <n v="0"/>
    <n v="0"/>
    <n v="0"/>
  </r>
  <r>
    <n v="201"/>
    <s v="HUỲNH VĂN BẢO"/>
    <s v="CÔNG TY TNHH GAS SAO MAI"/>
    <s v="LIMO GREEN"/>
    <s v="RLLVFPNTXTH702483"/>
    <x v="0"/>
    <s v="SLKD"/>
    <s v="S11007"/>
    <n v="1"/>
    <s v="749.000.000"/>
    <e v="#VALUE!"/>
    <n v="0"/>
    <n v="0"/>
    <n v="0"/>
    <n v="0"/>
    <n v="0"/>
    <n v="0"/>
    <s v="10.000.000"/>
    <e v="#VALUE!"/>
    <e v="#VALUE!"/>
    <n v="630963636"/>
    <n v="0"/>
    <n v="-653672727"/>
    <n v="0"/>
    <n v="0"/>
    <n v="-8400000"/>
    <s v=""/>
    <s v=""/>
    <n v="-31109091"/>
    <n v="0"/>
    <n v="0"/>
    <s v="10.000.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B644178-B2B3-44E8-A739-14DE1FABD7EA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H9" firstHeaderRow="0" firstDataRow="1" firstDataCol="1"/>
  <pivotFields count="32">
    <pivotField showAll="0"/>
    <pivotField showAll="0"/>
    <pivotField showAll="0"/>
    <pivotField showAll="0"/>
    <pivotField showAll="0"/>
    <pivotField axis="axisRow" showAll="0">
      <items count="7">
        <item x="3"/>
        <item x="2"/>
        <item m="1" x="5"/>
        <item x="1"/>
        <item x="0"/>
        <item x="4"/>
        <item t="default"/>
      </items>
    </pivotField>
    <pivotField showAll="0"/>
    <pivotField showAll="0"/>
    <pivotField dataField="1" showAll="0"/>
    <pivotField showAll="0"/>
    <pivotField showAll="0"/>
    <pivotField numFmtId="166" showAll="0"/>
    <pivotField numFmtId="9" showAll="0"/>
    <pivotField showAll="0"/>
    <pivotField numFmtId="166" showAll="0"/>
    <pivotField numFmtId="9" showAll="0"/>
    <pivotField numFmtId="166" showAll="0"/>
    <pivotField showAll="0"/>
    <pivotField showAll="0"/>
    <pivotField showAll="0"/>
    <pivotField dataField="1" numFmtId="171" showAll="0"/>
    <pivotField showAll="0"/>
    <pivotField dataField="1" numFmtId="171" showAll="0"/>
    <pivotField dataField="1" numFmtId="166" showAll="0"/>
    <pivotField dataField="1" numFmtId="166" showAll="0"/>
    <pivotField dataField="1" numFmtId="166" showAll="0"/>
    <pivotField showAll="0"/>
    <pivotField showAll="0"/>
    <pivotField dataField="1" numFmtId="171" showAll="0"/>
    <pivotField numFmtId="166" showAll="0"/>
    <pivotField numFmtId="166" showAll="0"/>
    <pivotField showAll="0"/>
  </pivotFields>
  <rowFields count="1">
    <field x="5"/>
  </rowFields>
  <rowItems count="6">
    <i>
      <x/>
    </i>
    <i>
      <x v="1"/>
    </i>
    <i>
      <x v="3"/>
    </i>
    <i>
      <x v="4"/>
    </i>
    <i>
      <x v="5"/>
    </i>
    <i t="grand">
      <x/>
    </i>
  </rowItems>
  <colFields count="1">
    <field x="-2"/>
  </colFields>
  <colItems count="7">
    <i>
      <x/>
    </i>
    <i i="1">
      <x v="1"/>
    </i>
    <i i="2">
      <x v="2"/>
    </i>
    <i i="3">
      <x v="3"/>
    </i>
    <i i="4">
      <x v="4"/>
    </i>
    <i i="5">
      <x v="5"/>
    </i>
    <i i="6">
      <x v="6"/>
    </i>
  </colItems>
  <dataFields count="7">
    <dataField name="Sum of Số lượng" fld="8" baseField="0" baseItem="0"/>
    <dataField name="Sum of Doanh thu" fld="20" baseField="0" baseItem="0" numFmtId="171"/>
    <dataField name="Sum of Giá vốn" fld="22" baseField="0" baseItem="0" numFmtId="171"/>
    <dataField name="Sum of CKNM" fld="23" baseField="0" baseItem="0" numFmtId="166"/>
    <dataField name="Sum of Mở mới" fld="24" baseField="0" baseItem="0" numFmtId="166"/>
    <dataField name="Sum of Lương năng suất" fld="25" baseField="0" baseItem="0" numFmtId="166"/>
    <dataField name="Sum of Lợi nhuận còn lại" fld="28" baseField="0" baseItem="0" numFmtId="17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3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CF612E61-6305-45BF-883C-24E00BE68853}">
  <we:reference id="wa200009404" version="1.0.0.8" store="en-US" storeType="OMEX"/>
  <we:alternateReferences>
    <we:reference id="wa200009404" version="1.0.0.8" store="wa200009404" storeType="OMEX"/>
  </we:alternateReferences>
  <we:properties>
    <we:property name="claude.fileId" value="&quot;ef905772-30b7-444a-bf9d-d05b42767a4d&quot;"/>
  </we:properties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06F3D-2CE7-4AF4-A259-E728F226D05A}">
  <dimension ref="A2:I9"/>
  <sheetViews>
    <sheetView workbookViewId="0">
      <selection activeCell="H22" sqref="H22"/>
    </sheetView>
  </sheetViews>
  <sheetFormatPr defaultRowHeight="14.5"/>
  <cols>
    <col min="1" max="1" width="14.26953125" bestFit="1" customWidth="1"/>
    <col min="2" max="2" width="15.7265625" bestFit="1" customWidth="1"/>
    <col min="3" max="3" width="17.26953125" bestFit="1" customWidth="1"/>
    <col min="4" max="4" width="16.26953125" bestFit="1" customWidth="1"/>
    <col min="5" max="5" width="14.26953125" bestFit="1" customWidth="1"/>
    <col min="6" max="6" width="14.453125" bestFit="1" customWidth="1"/>
    <col min="7" max="7" width="22.7265625" bestFit="1" customWidth="1"/>
    <col min="8" max="8" width="23.1796875" bestFit="1" customWidth="1"/>
    <col min="9" max="9" width="15.7265625" bestFit="1" customWidth="1"/>
  </cols>
  <sheetData>
    <row r="2" spans="1:9">
      <c r="A2" s="308" t="s">
        <v>2008</v>
      </c>
    </row>
    <row r="3" spans="1:9">
      <c r="A3" s="306" t="s">
        <v>1998</v>
      </c>
      <c r="B3" t="s">
        <v>2000</v>
      </c>
      <c r="C3" t="s">
        <v>2001</v>
      </c>
      <c r="D3" t="s">
        <v>2002</v>
      </c>
      <c r="E3" t="s">
        <v>2003</v>
      </c>
      <c r="F3" t="s">
        <v>2004</v>
      </c>
      <c r="G3" t="s">
        <v>2005</v>
      </c>
      <c r="H3" t="s">
        <v>2006</v>
      </c>
      <c r="I3" s="309" t="s">
        <v>2007</v>
      </c>
    </row>
    <row r="4" spans="1:9">
      <c r="A4" s="307" t="s">
        <v>112</v>
      </c>
      <c r="B4">
        <v>42</v>
      </c>
      <c r="C4" s="49">
        <v>19400036365</v>
      </c>
      <c r="D4" s="49">
        <v>-20314899992</v>
      </c>
      <c r="E4" s="12">
        <v>1555642500.0000002</v>
      </c>
      <c r="F4" s="12">
        <v>71602545.454545453</v>
      </c>
      <c r="G4" s="12">
        <v>-316260000</v>
      </c>
      <c r="H4" s="49">
        <v>396121418.45454526</v>
      </c>
      <c r="I4" s="49">
        <f t="shared" ref="I4:I9" si="0">IFERROR(H4/B4,0)</f>
        <v>9431462.3441558387</v>
      </c>
    </row>
    <row r="5" spans="1:9">
      <c r="A5" s="307" t="s">
        <v>100</v>
      </c>
      <c r="B5">
        <v>22</v>
      </c>
      <c r="C5" s="49">
        <v>9064615362</v>
      </c>
      <c r="D5" s="49">
        <v>-9517090907</v>
      </c>
      <c r="E5" s="12">
        <v>766972887.27272713</v>
      </c>
      <c r="F5" s="12">
        <v>0</v>
      </c>
      <c r="G5" s="12">
        <v>-166842479.65263742</v>
      </c>
      <c r="H5" s="49">
        <v>150707544.6200898</v>
      </c>
      <c r="I5" s="49">
        <f t="shared" si="0"/>
        <v>6850342.9372768095</v>
      </c>
    </row>
    <row r="6" spans="1:9">
      <c r="A6" s="307" t="s">
        <v>122</v>
      </c>
      <c r="B6">
        <v>36</v>
      </c>
      <c r="C6" s="49">
        <v>18436811003</v>
      </c>
      <c r="D6" s="49">
        <v>-19215604538</v>
      </c>
      <c r="E6" s="12">
        <v>1308234485.4545457</v>
      </c>
      <c r="F6" s="12">
        <v>116089019.09090905</v>
      </c>
      <c r="G6" s="12">
        <v>-242290000</v>
      </c>
      <c r="H6" s="49">
        <v>424149060.54545432</v>
      </c>
      <c r="I6" s="49">
        <f t="shared" si="0"/>
        <v>11781918.348484842</v>
      </c>
    </row>
    <row r="7" spans="1:9">
      <c r="A7" s="307" t="s">
        <v>104</v>
      </c>
      <c r="B7">
        <v>33</v>
      </c>
      <c r="C7" s="49">
        <v>18553660363</v>
      </c>
      <c r="D7" s="49">
        <v>-19582713630</v>
      </c>
      <c r="E7" s="12">
        <v>1581416722.7272727</v>
      </c>
      <c r="F7" s="12">
        <v>164914425.45454547</v>
      </c>
      <c r="G7" s="12">
        <v>-410089268.64460039</v>
      </c>
      <c r="H7" s="49">
        <v>307188612.53721756</v>
      </c>
      <c r="I7" s="49">
        <f t="shared" si="0"/>
        <v>9308745.8344611377</v>
      </c>
    </row>
    <row r="8" spans="1:9">
      <c r="A8" s="307" t="s">
        <v>138</v>
      </c>
      <c r="B8">
        <v>68</v>
      </c>
      <c r="C8" s="49">
        <v>32511184181</v>
      </c>
      <c r="D8" s="49">
        <v>-34122345448</v>
      </c>
      <c r="E8" s="12">
        <v>2637692469.3181834</v>
      </c>
      <c r="F8" s="12">
        <v>297807271.36363637</v>
      </c>
      <c r="G8" s="12">
        <v>-575457875.97824693</v>
      </c>
      <c r="H8" s="49">
        <v>748880597.70357096</v>
      </c>
      <c r="I8" s="49">
        <f t="shared" si="0"/>
        <v>11012949.966228984</v>
      </c>
    </row>
    <row r="9" spans="1:9">
      <c r="A9" s="307" t="s">
        <v>1999</v>
      </c>
      <c r="B9">
        <v>201</v>
      </c>
      <c r="C9" s="49">
        <v>97966307274</v>
      </c>
      <c r="D9" s="49">
        <v>-102752654515</v>
      </c>
      <c r="E9" s="12">
        <v>7849959064.7727299</v>
      </c>
      <c r="F9" s="12">
        <v>650413261.36363637</v>
      </c>
      <c r="G9" s="12">
        <v>-1710939624.2754848</v>
      </c>
      <c r="H9" s="49">
        <v>2027047233.860878</v>
      </c>
      <c r="I9" s="310">
        <f t="shared" si="0"/>
        <v>10084812.108760588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582CC-4615-4C99-82BC-7441721CBBA6}">
  <dimension ref="A1:AF214"/>
  <sheetViews>
    <sheetView workbookViewId="0">
      <pane xSplit="4" ySplit="6" topLeftCell="Z7" activePane="bottomRight" state="frozen"/>
      <selection pane="topRight" activeCell="E1" sqref="E1"/>
      <selection pane="bottomLeft" activeCell="A7" sqref="A7"/>
      <selection pane="bottomRight" activeCell="W44" sqref="W44"/>
    </sheetView>
  </sheetViews>
  <sheetFormatPr defaultRowHeight="14.5"/>
  <cols>
    <col min="1" max="1" width="14.7265625" bestFit="1" customWidth="1"/>
    <col min="2" max="2" width="24.453125" customWidth="1"/>
    <col min="3" max="3" width="23.81640625" style="50" customWidth="1"/>
    <col min="4" max="4" width="12.81640625" customWidth="1"/>
    <col min="5" max="5" width="18.81640625" bestFit="1" customWidth="1"/>
    <col min="6" max="7" width="15" customWidth="1"/>
    <col min="9" max="9" width="4.7265625" customWidth="1"/>
    <col min="10" max="10" width="16.1796875" bestFit="1" customWidth="1"/>
    <col min="11" max="11" width="12.453125" customWidth="1"/>
    <col min="12" max="12" width="12.54296875" bestFit="1" customWidth="1"/>
    <col min="15" max="15" width="13.81640625" bestFit="1" customWidth="1"/>
    <col min="16" max="16" width="7.453125" customWidth="1"/>
    <col min="17" max="17" width="15" customWidth="1"/>
    <col min="18" max="18" width="13.7265625" customWidth="1"/>
    <col min="19" max="19" width="14.7265625" bestFit="1" customWidth="1"/>
    <col min="20" max="20" width="14.453125" bestFit="1" customWidth="1"/>
    <col min="21" max="21" width="18" bestFit="1" customWidth="1"/>
    <col min="22" max="22" width="15.26953125" customWidth="1"/>
    <col min="23" max="23" width="19.7265625" bestFit="1" customWidth="1"/>
    <col min="24" max="24" width="16.81640625" bestFit="1" customWidth="1"/>
    <col min="25" max="25" width="15.26953125" bestFit="1" customWidth="1"/>
    <col min="26" max="26" width="17.7265625" bestFit="1" customWidth="1"/>
    <col min="27" max="27" width="14.54296875" bestFit="1" customWidth="1"/>
    <col min="28" max="28" width="12.81640625" bestFit="1" customWidth="1"/>
    <col min="29" max="29" width="17" bestFit="1" customWidth="1"/>
    <col min="30" max="30" width="14.1796875" style="11" customWidth="1"/>
    <col min="31" max="32" width="15.26953125" style="11" bestFit="1" customWidth="1"/>
  </cols>
  <sheetData>
    <row r="1" spans="1:32">
      <c r="Z1" t="s">
        <v>297</v>
      </c>
    </row>
    <row r="2" spans="1:32">
      <c r="X2" t="s">
        <v>299</v>
      </c>
      <c r="Y2" t="s">
        <v>300</v>
      </c>
      <c r="Z2" t="s">
        <v>296</v>
      </c>
    </row>
    <row r="3" spans="1:32" ht="14.5" customHeight="1">
      <c r="A3" s="61" t="s">
        <v>34</v>
      </c>
      <c r="C3"/>
      <c r="X3" t="s">
        <v>301</v>
      </c>
      <c r="Z3" t="s">
        <v>293</v>
      </c>
      <c r="AA3" t="s">
        <v>294</v>
      </c>
      <c r="AB3" t="s">
        <v>295</v>
      </c>
    </row>
    <row r="4" spans="1:32">
      <c r="L4" t="s">
        <v>292</v>
      </c>
      <c r="T4" s="12"/>
      <c r="U4" s="11"/>
      <c r="X4" s="295" t="s">
        <v>1991</v>
      </c>
      <c r="AA4" t="s">
        <v>298</v>
      </c>
      <c r="AB4" t="s">
        <v>298</v>
      </c>
      <c r="AC4" s="62">
        <f>AC5/I5</f>
        <v>9839210.1214245558</v>
      </c>
    </row>
    <row r="5" spans="1:32" s="2" customFormat="1" ht="14.15" customHeight="1">
      <c r="A5" s="1"/>
      <c r="B5"/>
      <c r="C5" s="50"/>
      <c r="D5"/>
      <c r="E5"/>
      <c r="F5"/>
      <c r="G5"/>
      <c r="H5"/>
      <c r="I5">
        <f>SUBTOTAL(9,I7:I210)</f>
        <v>201</v>
      </c>
      <c r="J5"/>
      <c r="K5" s="10">
        <v>0.06</v>
      </c>
      <c r="L5" s="10">
        <v>0.1</v>
      </c>
      <c r="M5" s="10">
        <v>7.0000000000000007E-2</v>
      </c>
      <c r="N5" s="10"/>
      <c r="O5" s="10">
        <v>0.03</v>
      </c>
      <c r="P5"/>
      <c r="Q5"/>
      <c r="R5"/>
      <c r="S5" t="s">
        <v>211</v>
      </c>
      <c r="T5"/>
      <c r="U5" s="11">
        <f t="shared" ref="U5:AF5" si="0">SUBTOTAL(9,U7:U210)</f>
        <v>98896461820</v>
      </c>
      <c r="V5" s="11">
        <f t="shared" si="0"/>
        <v>23961773</v>
      </c>
      <c r="W5" s="11">
        <f t="shared" si="0"/>
        <v>-103730981787</v>
      </c>
      <c r="X5" s="11">
        <f>SUBTOTAL(9,X7:X210)</f>
        <v>7848765791.3181791</v>
      </c>
      <c r="Y5" s="11">
        <f t="shared" si="0"/>
        <v>650413261.36363673</v>
      </c>
      <c r="Z5" s="11">
        <f t="shared" si="0"/>
        <v>-1710939624.2754846</v>
      </c>
      <c r="AA5" s="11">
        <f t="shared" si="0"/>
        <v>0</v>
      </c>
      <c r="AB5" s="11">
        <f t="shared" si="0"/>
        <v>0</v>
      </c>
      <c r="AC5" s="11">
        <f t="shared" si="0"/>
        <v>1977681234.4063356</v>
      </c>
      <c r="AD5" s="11">
        <f t="shared" si="0"/>
        <v>75000000</v>
      </c>
      <c r="AE5" s="11">
        <f t="shared" si="0"/>
        <v>183900000</v>
      </c>
      <c r="AF5" s="11">
        <f t="shared" si="0"/>
        <v>499000000</v>
      </c>
    </row>
    <row r="6" spans="1:32" s="2" customFormat="1" ht="35.15" customHeight="1">
      <c r="A6" s="3" t="s">
        <v>35</v>
      </c>
      <c r="B6" s="3" t="s">
        <v>49</v>
      </c>
      <c r="C6" s="3" t="s">
        <v>36</v>
      </c>
      <c r="D6" s="3" t="s">
        <v>37</v>
      </c>
      <c r="E6" s="3" t="s">
        <v>38</v>
      </c>
      <c r="F6" s="3" t="s">
        <v>39</v>
      </c>
      <c r="G6" s="3" t="s">
        <v>1932</v>
      </c>
      <c r="H6" s="3" t="s">
        <v>210</v>
      </c>
      <c r="I6" s="3" t="s">
        <v>40</v>
      </c>
      <c r="J6" s="3" t="s">
        <v>59</v>
      </c>
      <c r="K6" s="3" t="s">
        <v>205</v>
      </c>
      <c r="L6" s="3" t="s">
        <v>291</v>
      </c>
      <c r="M6" s="3" t="s">
        <v>206</v>
      </c>
      <c r="N6" s="3" t="s">
        <v>73</v>
      </c>
      <c r="O6" s="3" t="s">
        <v>85</v>
      </c>
      <c r="P6" s="3" t="s">
        <v>207</v>
      </c>
      <c r="Q6" s="3" t="s">
        <v>212</v>
      </c>
      <c r="R6" s="3" t="s">
        <v>209</v>
      </c>
      <c r="S6" s="3" t="s">
        <v>78</v>
      </c>
      <c r="T6" s="3" t="s">
        <v>80</v>
      </c>
      <c r="U6" s="3" t="s">
        <v>41</v>
      </c>
      <c r="V6" s="3" t="s">
        <v>42</v>
      </c>
      <c r="W6" s="3" t="s">
        <v>43</v>
      </c>
      <c r="X6" s="3" t="s">
        <v>44</v>
      </c>
      <c r="Y6" s="3" t="s">
        <v>86</v>
      </c>
      <c r="Z6" s="60" t="s">
        <v>45</v>
      </c>
      <c r="AA6" s="60" t="s">
        <v>46</v>
      </c>
      <c r="AB6" s="60" t="s">
        <v>47</v>
      </c>
      <c r="AC6" s="3" t="s">
        <v>48</v>
      </c>
      <c r="AD6" s="59" t="s">
        <v>290</v>
      </c>
      <c r="AE6" s="59" t="s">
        <v>213</v>
      </c>
      <c r="AF6" s="59" t="s">
        <v>208</v>
      </c>
    </row>
    <row r="7" spans="1:32">
      <c r="A7" s="11">
        <v>1</v>
      </c>
      <c r="B7" t="str">
        <f>IFERROR(INDEX('Dự thu chiết khấu'!$E:$E,MATCH(E7,'Dự thu chiết khấu'!$L:$L,0)),"")</f>
        <v>VÕ VĂN KIÊN</v>
      </c>
      <c r="C7" s="51" t="str">
        <f>IFERROR(INDEX('Dự thu chiết khấu'!$F:$F,MATCH(E7,'Dự thu chiết khấu'!$L:$L,0)),"")</f>
        <v>HOÀNG ANH VŨ</v>
      </c>
      <c r="D7" s="4" t="str">
        <f>IFERROR(INDEX('Dự thu chiết khấu'!$H:$H,MATCH(E7,'Dự thu chiết khấu'!$L:$L,0)),"")</f>
        <v>VF 6</v>
      </c>
      <c r="E7" s="4" t="str">
        <f>'Dự thu chiết khấu'!L4</f>
        <v>RLLVAG8C8TH712424</v>
      </c>
      <c r="F7" s="5" t="s">
        <v>104</v>
      </c>
      <c r="G7" s="5" t="str" cm="1">
        <f t="array" ref="G7">IFERROR(INDEX('DT-GV'!$X$6:$X$213,MATCH(1,('DT-GV'!$H$6:$H$213=E7)*('DT-GV'!$R$6:$R$213&lt;&gt;0),0)),IFERROR(VLOOKUP(E7,'DT-GV'!$H$6:$X$213,17,0),""))</f>
        <v>SLKD</v>
      </c>
      <c r="H7" s="8" t="str">
        <f>VLOOKUP(E7,'Dự thu chiết khấu'!$L$3:$M$226,2,0)</f>
        <v>S11006</v>
      </c>
      <c r="I7">
        <v>1</v>
      </c>
      <c r="J7" s="11">
        <f>VLOOKUP(E7,'Dự thu chiết khấu'!$L$3:$P$226,5,0)</f>
        <v>745000000</v>
      </c>
      <c r="K7" s="12">
        <f t="shared" ref="K7:K38" si="1">IF(M7&gt;0,0,IF(OR(LEFT(SUBSTITUTE(UPPER(D7)," ",""),3)="VF8",LEFT(SUBSTITUTE(UPPER(D7)," ",""),3)="VF9"),0,J7*$K$5))</f>
        <v>44700000</v>
      </c>
      <c r="L7" s="12">
        <f t="shared" ref="L7:L38" si="2">IF(M7&gt;0,0,IF(OR(LEFT(SUBSTITUTE(UPPER(D7)," ",""),3)="VF8",LEFT(SUBSTITUTE(UPPER(D7)," ",""),3)="VF9"),J7*$L$5,0))</f>
        <v>0</v>
      </c>
      <c r="M7" s="13">
        <f>IFERROR(VLOOKUP(E7,'Dự thu chiết khấu'!$L$3:$R$226,7,0),0)</f>
        <v>0</v>
      </c>
      <c r="N7" s="14">
        <f>IFERROR(VLOOKUP(E7,'Dự thu chiết khấu'!$L$3:$S$226,8,0),0)</f>
        <v>0</v>
      </c>
      <c r="O7" s="11">
        <f>IF(IFERROR(VLOOKUP(E7,'Dự thu chiết khấu'!$L$3:$T$226,9,0),0)&gt;0,J7*$O$5,0)</f>
        <v>0</v>
      </c>
      <c r="P7" s="13">
        <f>IFERROR(VLOOKUP(E7,'Dự thu chiết khấu'!$L$3:$U$226,10,0),0)</f>
        <v>0</v>
      </c>
      <c r="Q7" s="12">
        <f>IFERROR(VLOOKUP(E7,'Dự thu chiết khấu'!$L$3:$V$226,11,0),0)</f>
        <v>0</v>
      </c>
      <c r="R7" s="12">
        <f>VLOOKUP($E7,'Dự thu chiết khấu'!$L$3:$W$226,12,0)</f>
        <v>5000000</v>
      </c>
      <c r="S7" s="12">
        <f>(J7-K7-L7-O7-P7*J7-R7-Q7-(J7-K7-L7-AD7-AE7-AF7-Q7-O7-(P7*J7))*N7)/1.1</f>
        <v>632090909.090909</v>
      </c>
      <c r="T7" s="11">
        <f>S7-SUM(U7:V7)</f>
        <v>9.0909004211425781E-2</v>
      </c>
      <c r="U7" s="15">
        <f>SUMIFS('DT-GV'!$N$6:$N$213,'DT-GV'!$H$6:$H$213,E7,'DT-GV'!$R$6:$R$213,"&lt;&gt;0")</f>
        <v>632090909</v>
      </c>
      <c r="V7" s="48">
        <f>SUMIFS('DT-GV'!$N$6:$N$213,'DT-GV'!$H$6:$H$213,E7,'DT-GV'!$R$6:$R$213,0)</f>
        <v>0</v>
      </c>
      <c r="W7" s="15">
        <f>-SUMIFS('DT-GV'!$R$6:$R$213,'DT-GV'!$H$6:$H$213,E7)</f>
        <v>-651927272</v>
      </c>
      <c r="X7" s="11">
        <f>IFERROR(VLOOKUP($E7,'Dự thu chiết khấu'!$L$3:$AK$226,26,0)/1.1,0)</f>
        <v>40756363.636363633</v>
      </c>
      <c r="Y7" s="11">
        <f>IFERROR(VLOOKUP($E7,'Dự thu chiết khấu'!$L$3:$BE$226,46,0)/1.1,0)</f>
        <v>6366363.6363636358</v>
      </c>
      <c r="Z7" s="11">
        <f>-SUMIF('Lương năng suất'!$R$4:$R$208,E7,'Lương năng suất'!$AQ$4:$AQ$208)</f>
        <v>-12000000</v>
      </c>
      <c r="AA7" s="213" t="str">
        <f>IFERROR(IF(ISNUMBER(SEARCH("TẶNG",VLOOKUP(E7,'Dự thu chiết khấu'!$L$3:$AV$226,37,0))),"TẶNG",""),"")</f>
        <v/>
      </c>
      <c r="AB7" s="213" t="str">
        <f>IFERROR(IF(ISNUMBER(SEARCH("TẶNG",VLOOKUP(E7,'Dự thu chiết khấu'!$L$3:$AW$226,38,0))),"TẶNG",""),"")</f>
        <v/>
      </c>
      <c r="AC7" s="49">
        <f>SUM(U7:AB7)</f>
        <v>15286364.27272727</v>
      </c>
      <c r="AD7" s="11">
        <f>IFERROR(VLOOKUP(E7,'Dự thu chiết khấu'!$L$3:$AM$226,28,0),0)</f>
        <v>0</v>
      </c>
      <c r="AE7" s="11">
        <f>IFERROR(VLOOKUP(E7,'Dự thu chiết khấu'!$L$3:$AN$226,29,0),0)</f>
        <v>0</v>
      </c>
      <c r="AF7" s="11">
        <f>IFERROR(VLOOKUP(E7,'Dự thu chiết khấu'!$L$3:$AO$226,30,0),0)</f>
        <v>10000000</v>
      </c>
    </row>
    <row r="8" spans="1:32">
      <c r="A8">
        <v>2</v>
      </c>
      <c r="B8" t="str">
        <f>IFERROR(INDEX('Dự thu chiết khấu'!$E:$E,MATCH(E8,'Dự thu chiết khấu'!$L:$L,0)),"")</f>
        <v>TỪ NỮ BÉ MI</v>
      </c>
      <c r="C8" s="51" t="str">
        <f>IFERROR(INDEX('Dự thu chiết khấu'!$F:$F,MATCH(E8,'Dự thu chiết khấu'!$L:$L,0)),"")</f>
        <v>HUỲNH HOÀNG CHÂU</v>
      </c>
      <c r="D8" s="4" t="str">
        <f>IFERROR(INDEX('Dự thu chiết khấu'!$H:$H,MATCH(E8,'Dự thu chiết khấu'!$L:$L,0)),"")</f>
        <v>VF 9</v>
      </c>
      <c r="E8" s="4" t="str">
        <f>'Dự thu chiết khấu'!L5</f>
        <v>RLLV2CVA6SH843519</v>
      </c>
      <c r="F8" s="5" t="s">
        <v>104</v>
      </c>
      <c r="G8" s="5" t="str" cm="1">
        <f t="array" ref="G8">IFERROR(INDEX('DT-GV'!$X$6:$X$213,MATCH(1,('DT-GV'!$H$6:$H$213=E8)*('DT-GV'!$R$6:$R$213&lt;&gt;0),0)),IFERROR(VLOOKUP(E8,'DT-GV'!$H$6:$X$213,17,0),""))</f>
        <v>SLKD</v>
      </c>
      <c r="H8" s="8" t="str">
        <f>VLOOKUP(E8,'Dự thu chiết khấu'!$L$3:$M$226,2,0)</f>
        <v>S11001</v>
      </c>
      <c r="I8">
        <v>1</v>
      </c>
      <c r="J8" s="11">
        <f>VLOOKUP(E8,'Dự thu chiết khấu'!$L$3:$P$226,5,0)</f>
        <v>1499000000</v>
      </c>
      <c r="K8" s="12">
        <f t="shared" si="1"/>
        <v>0</v>
      </c>
      <c r="L8" s="12">
        <f t="shared" si="2"/>
        <v>149900000</v>
      </c>
      <c r="M8" s="13">
        <f>IFERROR(VLOOKUP(E8,'Dự thu chiết khấu'!$L$3:$R$226,7,0),0)</f>
        <v>0</v>
      </c>
      <c r="N8" s="14">
        <f>IFERROR(VLOOKUP(E8,'Dự thu chiết khấu'!$L$3:$S$226,8,0),0)</f>
        <v>0</v>
      </c>
      <c r="O8" s="11">
        <f>IF(IFERROR(VLOOKUP(E8,'Dự thu chiết khấu'!$L$3:$T$226,9,0),0)&gt;0,J8*$O$5,0)</f>
        <v>44970000</v>
      </c>
      <c r="P8" s="13">
        <f>IFERROR(VLOOKUP(E8,'Dự thu chiết khấu'!$L$3:$U$226,10,0),0)</f>
        <v>0</v>
      </c>
      <c r="Q8" s="12">
        <f>IFERROR(VLOOKUP(E8,'Dự thu chiết khấu'!$L$3:$V$226,11,0),0)</f>
        <v>50000000</v>
      </c>
      <c r="R8" s="12">
        <f>VLOOKUP($E8,'Dự thu chiết khấu'!$L$3:$W$226,12,0)</f>
        <v>25000000</v>
      </c>
      <c r="S8" s="12">
        <f t="shared" ref="S8:S71" si="3">(J8-K8-L8-O8-P8*J8-R8-Q8-(J8-K8-L8-AD8-AE8-AF8-Q8-O8-(P8*J8))*N8)/1.1</f>
        <v>1117390909.090909</v>
      </c>
      <c r="T8" s="11">
        <f t="shared" ref="T8:T71" si="4">S8-SUM(U8:V8)</f>
        <v>9.0909004211425781E-2</v>
      </c>
      <c r="U8" s="15">
        <f>SUMIFS('DT-GV'!$N$6:$N$213,'DT-GV'!$H$6:$H$213,E8,'DT-GV'!$R$6:$R$213,"&lt;&gt;0")</f>
        <v>1117390909</v>
      </c>
      <c r="V8" s="48">
        <f>SUMIFS('DT-GV'!$N$6:$N$213,'DT-GV'!$H$6:$H$213,E8,'DT-GV'!$R$6:$R$213,0)</f>
        <v>0</v>
      </c>
      <c r="W8" s="15">
        <f>-SUMIFS('DT-GV'!$R$6:$R$213,'DT-GV'!$H$6:$H$213,E8)</f>
        <v>-1280963636</v>
      </c>
      <c r="X8" s="11">
        <f>IFERROR(VLOOKUP($E8,'Dự thu chiết khấu'!$L$3:$AK$226,26,0)/1.1,0)</f>
        <v>209252545.45454544</v>
      </c>
      <c r="Y8" s="11">
        <f>IFERROR(VLOOKUP($E8,'Dự thu chiết khấu'!$L$3:$BE$226,46,0)/1.1,0)</f>
        <v>0</v>
      </c>
      <c r="Z8" s="11">
        <f>-SUMIF('Lương năng suất'!$R$4:$R$208,E8,'Lương năng suất'!$AQ$4:$AQ$208)</f>
        <v>-37600000</v>
      </c>
      <c r="AA8" s="213" t="str">
        <f>IFERROR(IF(ISNUMBER(SEARCH("TẶNG",VLOOKUP(E8,'Dự thu chiết khấu'!$L$3:$AV$226,37,0))),"TẶNG",""),"")</f>
        <v/>
      </c>
      <c r="AB8" s="213" t="str">
        <f>IFERROR(IF(ISNUMBER(SEARCH("TẶNG",VLOOKUP(E8,'Dự thu chiết khấu'!$L$3:$AW$226,38,0))),"TẶNG",""),"")</f>
        <v/>
      </c>
      <c r="AC8" s="49">
        <f t="shared" ref="AC8:AC71" si="5">SUM(U8:AB8)</f>
        <v>8079818.4545454383</v>
      </c>
      <c r="AD8" s="11">
        <f>IFERROR(VLOOKUP(E8,'Dự thu chiết khấu'!$L$3:$AM$226,28,0),0)</f>
        <v>0</v>
      </c>
      <c r="AE8" s="11">
        <f>IFERROR(VLOOKUP(E8,'Dự thu chiết khấu'!$L$3:$AN$226,29,0),0)</f>
        <v>0</v>
      </c>
      <c r="AF8" s="11">
        <f>IFERROR(VLOOKUP(E8,'Dự thu chiết khấu'!$L$3:$AO$226,30,0),0)</f>
        <v>0</v>
      </c>
    </row>
    <row r="9" spans="1:32">
      <c r="A9" s="11">
        <v>3</v>
      </c>
      <c r="B9" t="str">
        <f>IFERROR(INDEX('Dự thu chiết khấu'!$E:$E,MATCH(E9,'Dự thu chiết khấu'!$L:$L,0)),"")</f>
        <v>NGUYỄN TRỌNG HƯNG</v>
      </c>
      <c r="C9" s="51" t="str">
        <f>IFERROR(INDEX('Dự thu chiết khấu'!$F:$F,MATCH(E9,'Dự thu chiết khấu'!$L:$L,0)),"")</f>
        <v>NGUYỄN VIỆT HÙNG</v>
      </c>
      <c r="D9" s="4" t="str">
        <f>IFERROR(INDEX('Dự thu chiết khấu'!$H:$H,MATCH(E9,'Dự thu chiết khấu'!$L:$L,0)),"")</f>
        <v>VF 3</v>
      </c>
      <c r="E9" s="4" t="str">
        <f>'Dự thu chiết khấu'!L6</f>
        <v>RLNVBL9K1ST716572</v>
      </c>
      <c r="F9" s="5" t="s">
        <v>122</v>
      </c>
      <c r="G9" s="5" t="str" cm="1">
        <f t="array" ref="G9">IFERROR(INDEX('DT-GV'!$X$6:$X$213,MATCH(1,('DT-GV'!$H$6:$H$213=E9)*('DT-GV'!$R$6:$R$213&lt;&gt;0),0)),IFERROR(VLOOKUP(E9,'DT-GV'!$H$6:$X$213,17,0),""))</f>
        <v>QTKD</v>
      </c>
      <c r="H9" s="6" t="str">
        <f>VLOOKUP(E9,'Dự thu chiết khấu'!$L$3:$M$226,2,0)</f>
        <v>S11007</v>
      </c>
      <c r="I9">
        <v>1</v>
      </c>
      <c r="J9" s="11">
        <f>VLOOKUP(E9,'Dự thu chiết khấu'!$L$3:$P$226,5,0)</f>
        <v>310000000</v>
      </c>
      <c r="K9" s="12">
        <f t="shared" si="1"/>
        <v>18600000</v>
      </c>
      <c r="L9" s="12">
        <f t="shared" si="2"/>
        <v>0</v>
      </c>
      <c r="M9" s="13">
        <f>IFERROR(VLOOKUP(E9,'Dự thu chiết khấu'!$L$3:$R$226,7,0),0)</f>
        <v>0</v>
      </c>
      <c r="N9" s="14">
        <f>IFERROR(VLOOKUP(E9,'Dự thu chiết khấu'!$L$3:$S$226,8,0),0)</f>
        <v>0</v>
      </c>
      <c r="O9" s="11">
        <f>IF(IFERROR(VLOOKUP(E9,'Dự thu chiết khấu'!$L$3:$T$226,9,0),0)&gt;0,J9*$O$5,0)</f>
        <v>0</v>
      </c>
      <c r="P9" s="13">
        <f>IFERROR(VLOOKUP(E9,'Dự thu chiết khấu'!$L$3:$U$226,10,0),0)</f>
        <v>0</v>
      </c>
      <c r="Q9" s="12">
        <f>IFERROR(VLOOKUP(E9,'Dự thu chiết khấu'!$L$3:$V$226,11,0),0)</f>
        <v>18000000</v>
      </c>
      <c r="R9" s="12">
        <f>VLOOKUP($E9,'Dự thu chiết khấu'!$L$3:$W$226,12,0)</f>
        <v>0</v>
      </c>
      <c r="S9" s="12">
        <f t="shared" si="3"/>
        <v>248545454.54545453</v>
      </c>
      <c r="T9" s="11">
        <f t="shared" si="4"/>
        <v>-0.45454546809196472</v>
      </c>
      <c r="U9" s="15">
        <f>SUMIFS('DT-GV'!$N$6:$N$213,'DT-GV'!$H$6:$H$213,E9,'DT-GV'!$R$6:$R$213,"&lt;&gt;0")</f>
        <v>248545455</v>
      </c>
      <c r="V9" s="48">
        <f>SUMIFS('DT-GV'!$N$6:$N$213,'DT-GV'!$H$6:$H$213,E9,'DT-GV'!$R$6:$R$213,0)</f>
        <v>0</v>
      </c>
      <c r="W9" s="15">
        <f>-SUMIFS('DT-GV'!$R$6:$R$213,'DT-GV'!$H$6:$H$213,E9)</f>
        <v>-270545455</v>
      </c>
      <c r="X9" s="11">
        <f>IFERROR(VLOOKUP($E9,'Dự thu chiết khấu'!$L$3:$AK$226,26,0)/1.1,0)</f>
        <v>31941818.18181818</v>
      </c>
      <c r="Y9" s="11">
        <f>IFERROR(VLOOKUP($E9,'Dự thu chiết khấu'!$L$3:$BE$226,46,0)/1.1,0)</f>
        <v>2485454.5454545454</v>
      </c>
      <c r="Z9" s="11">
        <f>-SUMIF('Lương năng suất'!$R$4:$R$208,E9,'Lương năng suất'!$AQ$4:$AQ$208)</f>
        <v>-6400000</v>
      </c>
      <c r="AA9" s="213" t="str">
        <f>IFERROR(IF(ISNUMBER(SEARCH("TẶNG",VLOOKUP(E9,'Dự thu chiết khấu'!$L$3:$AV$226,37,0))),"TẶNG",""),"")</f>
        <v/>
      </c>
      <c r="AB9" s="213" t="str">
        <f>IFERROR(IF(ISNUMBER(SEARCH("TẶNG",VLOOKUP(E9,'Dự thu chiết khấu'!$L$3:$AW$226,38,0))),"TẶNG",""),"")</f>
        <v/>
      </c>
      <c r="AC9" s="49">
        <f t="shared" si="5"/>
        <v>6027272.7272727247</v>
      </c>
      <c r="AD9" s="11">
        <f>IFERROR(VLOOKUP(E9,'Dự thu chiết khấu'!$L$3:$AM$226,28,0),0)</f>
        <v>0</v>
      </c>
      <c r="AE9" s="11">
        <f>IFERROR(VLOOKUP(E9,'Dự thu chiết khấu'!$L$3:$AN$226,29,0),0)</f>
        <v>0</v>
      </c>
      <c r="AF9" s="11">
        <f>IFERROR(VLOOKUP(E9,'Dự thu chiết khấu'!$L$3:$AO$226,30,0),0)</f>
        <v>0</v>
      </c>
    </row>
    <row r="10" spans="1:32">
      <c r="A10">
        <v>4</v>
      </c>
      <c r="B10" t="str">
        <f>IFERROR(INDEX('Dự thu chiết khấu'!$E:$E,MATCH(E10,'Dự thu chiết khấu'!$L:$L,0)),"")</f>
        <v>LÊ MINH ĐỨC</v>
      </c>
      <c r="C10" s="51" t="str">
        <f>IFERROR(INDEX('Dự thu chiết khấu'!$F:$F,MATCH(E10,'Dự thu chiết khấu'!$L:$L,0)),"")</f>
        <v>HUỲNH MINH HẢI</v>
      </c>
      <c r="D10" s="4" t="str">
        <f>IFERROR(INDEX('Dự thu chiết khấu'!$H:$H,MATCH(E10,'Dự thu chiết khấu'!$L:$L,0)),"")</f>
        <v>VF 5</v>
      </c>
      <c r="E10" s="4" t="str">
        <f>'Dự thu chiết khấu'!L7</f>
        <v>RLNV5JSE4TH713606</v>
      </c>
      <c r="F10" s="5" t="s">
        <v>100</v>
      </c>
      <c r="G10" s="5" t="str" cm="1">
        <f t="array" ref="G10">IFERROR(INDEX('DT-GV'!$X$6:$X$213,MATCH(1,('DT-GV'!$H$6:$H$213=E10)*('DT-GV'!$R$6:$R$213&lt;&gt;0),0)),IFERROR(VLOOKUP(E10,'DT-GV'!$H$6:$X$213,17,0),""))</f>
        <v>LAKD</v>
      </c>
      <c r="H10" s="6" t="str">
        <f>VLOOKUP(E10,'Dự thu chiết khấu'!$L$3:$M$226,2,0)</f>
        <v>S11001</v>
      </c>
      <c r="I10">
        <v>1</v>
      </c>
      <c r="J10" s="11">
        <f>VLOOKUP(E10,'Dự thu chiết khấu'!$L$3:$P$226,5,0)</f>
        <v>537000000</v>
      </c>
      <c r="K10" s="12">
        <f t="shared" si="1"/>
        <v>0</v>
      </c>
      <c r="L10" s="12">
        <f t="shared" si="2"/>
        <v>0</v>
      </c>
      <c r="M10" s="13">
        <f>IFERROR(VLOOKUP(E10,'Dự thu chiết khấu'!$L$3:$R$226,7,0),0)</f>
        <v>7.0000000000000007E-2</v>
      </c>
      <c r="N10" s="14">
        <f>IFERROR(VLOOKUP(E10,'Dự thu chiết khấu'!$L$3:$S$226,8,0),0)</f>
        <v>0</v>
      </c>
      <c r="O10" s="11">
        <f>IF(IFERROR(VLOOKUP(E10,'Dự thu chiết khấu'!$L$3:$T$226,9,0),0)&gt;0,J10*$O$5,0)</f>
        <v>0</v>
      </c>
      <c r="P10" s="13">
        <f>IFERROR(VLOOKUP(E10,'Dự thu chiết khấu'!$L$3:$U$226,10,0),0)</f>
        <v>0</v>
      </c>
      <c r="Q10" s="12">
        <f>IFERROR(VLOOKUP(E10,'Dự thu chiết khấu'!$L$3:$V$226,11,0),0)</f>
        <v>0</v>
      </c>
      <c r="R10" s="12">
        <f>VLOOKUP($E10,'Dự thu chiết khấu'!$L$3:$W$226,12,0)</f>
        <v>0</v>
      </c>
      <c r="S10" s="12">
        <f t="shared" si="3"/>
        <v>488181818.18181813</v>
      </c>
      <c r="T10" s="11">
        <f t="shared" si="4"/>
        <v>0.18181812763214111</v>
      </c>
      <c r="U10" s="15">
        <f>SUMIFS('DT-GV'!$N$6:$N$213,'DT-GV'!$H$6:$H$213,E10,'DT-GV'!$R$6:$R$213,"&lt;&gt;0")</f>
        <v>488181818</v>
      </c>
      <c r="V10" s="48">
        <f>SUMIFS('DT-GV'!$N$6:$N$213,'DT-GV'!$H$6:$H$213,E10,'DT-GV'!$R$6:$R$213,0)</f>
        <v>0</v>
      </c>
      <c r="W10" s="15">
        <f>-SUMIFS('DT-GV'!$R$6:$R$213,'DT-GV'!$H$6:$H$213,E10)</f>
        <v>-468654545</v>
      </c>
      <c r="X10" s="11">
        <f>IFERROR(VLOOKUP($E10,'Dự thu chiết khấu'!$L$3:$AK$226,26,0)/1.1,0)</f>
        <v>0</v>
      </c>
      <c r="Y10" s="11">
        <f>IFERROR(VLOOKUP($E10,'Dự thu chiết khấu'!$L$3:$BE$226,46,0)/1.1,0)</f>
        <v>0</v>
      </c>
      <c r="Z10" s="11">
        <f>-SUMIF('Lương năng suất'!$R$4:$R$208,E10,'Lương năng suất'!$AQ$4:$AQ$208)</f>
        <v>-9600000</v>
      </c>
      <c r="AA10" s="213" t="str">
        <f>IFERROR(IF(ISNUMBER(SEARCH("TẶNG",VLOOKUP(E10,'Dự thu chiết khấu'!$L$3:$AV$226,37,0))),"TẶNG",""),"")</f>
        <v>TẶNG</v>
      </c>
      <c r="AB10" s="213" t="str">
        <f>IFERROR(IF(ISNUMBER(SEARCH("TẶNG",VLOOKUP(E10,'Dự thu chiết khấu'!$L$3:$AW$226,38,0))),"TẶNG",""),"")</f>
        <v/>
      </c>
      <c r="AC10" s="49">
        <f t="shared" si="5"/>
        <v>9927273</v>
      </c>
      <c r="AD10" s="11">
        <f>IFERROR(VLOOKUP(E10,'Dự thu chiết khấu'!$L$3:$AM$226,28,0),0)</f>
        <v>0</v>
      </c>
      <c r="AE10" s="11">
        <f>IFERROR(VLOOKUP(E10,'Dự thu chiết khấu'!$L$3:$AN$226,29,0),0)</f>
        <v>0</v>
      </c>
      <c r="AF10" s="11">
        <f>IFERROR(VLOOKUP(E10,'Dự thu chiết khấu'!$L$3:$AO$226,30,0),0)</f>
        <v>7000000</v>
      </c>
    </row>
    <row r="11" spans="1:32">
      <c r="A11" s="11">
        <v>5</v>
      </c>
      <c r="B11" t="str">
        <f>IFERROR(INDEX('Dự thu chiết khấu'!$E:$E,MATCH(E11,'Dự thu chiết khấu'!$L:$L,0)),"")</f>
        <v>Trần Anh Hoàng</v>
      </c>
      <c r="C11" s="51" t="str">
        <f>IFERROR(INDEX('Dự thu chiết khấu'!$F:$F,MATCH(E11,'Dự thu chiết khấu'!$L:$L,0)),"")</f>
        <v>BÙI NHỰT THƠ</v>
      </c>
      <c r="D11" s="4" t="str">
        <f>IFERROR(INDEX('Dự thu chiết khấu'!$H:$H,MATCH(E11,'Dự thu chiết khấu'!$L:$L,0)),"")</f>
        <v>VF 6</v>
      </c>
      <c r="E11" s="4" t="str">
        <f>'Dự thu chiết khấu'!L8</f>
        <v>RLLVAG8C4TH732735</v>
      </c>
      <c r="F11" s="5" t="s">
        <v>100</v>
      </c>
      <c r="G11" s="5" t="str" cm="1">
        <f t="array" ref="G11">IFERROR(INDEX('DT-GV'!$X$6:$X$213,MATCH(1,('DT-GV'!$H$6:$H$213=E11)*('DT-GV'!$R$6:$R$213&lt;&gt;0),0)),IFERROR(VLOOKUP(E11,'DT-GV'!$H$6:$X$213,17,0),""))</f>
        <v>LAKD</v>
      </c>
      <c r="H11" s="7" t="str">
        <f>VLOOKUP(E11,'Dự thu chiết khấu'!$L$3:$M$226,2,0)</f>
        <v>S11001</v>
      </c>
      <c r="I11">
        <v>1</v>
      </c>
      <c r="J11" s="11">
        <f>VLOOKUP(E11,'Dự thu chiết khấu'!$L$3:$P$226,5,0)</f>
        <v>745000000</v>
      </c>
      <c r="K11" s="12">
        <f t="shared" si="1"/>
        <v>44700000</v>
      </c>
      <c r="L11" s="12">
        <f t="shared" si="2"/>
        <v>0</v>
      </c>
      <c r="M11" s="13">
        <f>IFERROR(VLOOKUP(E11,'Dự thu chiết khấu'!$L$3:$R$226,7,0),0)</f>
        <v>0</v>
      </c>
      <c r="N11" s="14">
        <f>IFERROR(VLOOKUP(E11,'Dự thu chiết khấu'!$L$3:$S$226,8,0),0)</f>
        <v>0</v>
      </c>
      <c r="O11" s="11">
        <f>IF(IFERROR(VLOOKUP(E11,'Dự thu chiết khấu'!$L$3:$T$226,9,0),0)&gt;0,J11*$O$5,0)</f>
        <v>0</v>
      </c>
      <c r="P11" s="13">
        <f>IFERROR(VLOOKUP(E11,'Dự thu chiết khấu'!$L$3:$U$226,10,0),0)</f>
        <v>0</v>
      </c>
      <c r="Q11" s="12">
        <f>IFERROR(VLOOKUP(E11,'Dự thu chiết khấu'!$L$3:$V$226,11,0),0)</f>
        <v>0</v>
      </c>
      <c r="R11" s="12">
        <f>VLOOKUP($E11,'Dự thu chiết khấu'!$L$3:$W$226,12,0)</f>
        <v>0</v>
      </c>
      <c r="S11" s="12">
        <f t="shared" si="3"/>
        <v>636636363.63636363</v>
      </c>
      <c r="T11" s="11">
        <f t="shared" si="4"/>
        <v>-0.36363637447357178</v>
      </c>
      <c r="U11" s="15">
        <f>SUMIFS('DT-GV'!$N$6:$N$213,'DT-GV'!$H$6:$H$213,E11,'DT-GV'!$R$6:$R$213,"&lt;&gt;0")</f>
        <v>636636364</v>
      </c>
      <c r="V11" s="48">
        <f>SUMIFS('DT-GV'!$N$6:$N$213,'DT-GV'!$H$6:$H$213,E11,'DT-GV'!$R$6:$R$213,0)</f>
        <v>0</v>
      </c>
      <c r="W11" s="15">
        <f>-SUMIFS('DT-GV'!$R$6:$R$213,'DT-GV'!$H$6:$H$213,E11)</f>
        <v>-650181818</v>
      </c>
      <c r="X11" s="11">
        <f>IFERROR(VLOOKUP($E11,'Dự thu chiết khấu'!$L$3:$AK$226,26,0)/1.1,0)</f>
        <v>39010909.090909086</v>
      </c>
      <c r="Y11" s="11">
        <f>IFERROR(VLOOKUP($E11,'Dự thu chiết khấu'!$L$3:$BE$226,46,0)/1.1,0)</f>
        <v>0</v>
      </c>
      <c r="Z11" s="11">
        <f>-SUMIF('Lương năng suất'!$R$4:$R$208,E11,'Lương năng suất'!$AQ$4:$AQ$208)</f>
        <v>-16000000</v>
      </c>
      <c r="AA11" s="213" t="str">
        <f>IFERROR(IF(ISNUMBER(SEARCH("TẶNG",VLOOKUP(E11,'Dự thu chiết khấu'!$L$3:$AV$226,37,0))),"TẶNG",""),"")</f>
        <v/>
      </c>
      <c r="AB11" s="213" t="str">
        <f>IFERROR(IF(ISNUMBER(SEARCH("TẶNG",VLOOKUP(E11,'Dự thu chiết khấu'!$L$3:$AW$226,38,0))),"TẶNG",""),"")</f>
        <v/>
      </c>
      <c r="AC11" s="49">
        <f t="shared" si="5"/>
        <v>9465455.0909090862</v>
      </c>
      <c r="AD11" s="11">
        <f>IFERROR(VLOOKUP(E11,'Dự thu chiết khấu'!$L$3:$AM$226,28,0),0)</f>
        <v>0</v>
      </c>
      <c r="AE11" s="11">
        <f>IFERROR(VLOOKUP(E11,'Dự thu chiết khấu'!$L$3:$AN$226,29,0),0)</f>
        <v>0</v>
      </c>
      <c r="AF11" s="11">
        <f>IFERROR(VLOOKUP(E11,'Dự thu chiết khấu'!$L$3:$AO$226,30,0),0)</f>
        <v>10000000</v>
      </c>
    </row>
    <row r="12" spans="1:32">
      <c r="A12">
        <v>6</v>
      </c>
      <c r="B12" t="str">
        <f>IFERROR(INDEX('Dự thu chiết khấu'!$E:$E,MATCH(E12,'Dự thu chiết khấu'!$L:$L,0)),"")</f>
        <v>PHẠM THỊ KIM DUNG</v>
      </c>
      <c r="C12" s="51" t="str">
        <f>IFERROR(INDEX('Dự thu chiết khấu'!$F:$F,MATCH(E12,'Dự thu chiết khấu'!$L:$L,0)),"")</f>
        <v>NGUYỄN THỊ KIỀU LOAN</v>
      </c>
      <c r="D12" s="4" t="str">
        <f>IFERROR(INDEX('Dự thu chiết khấu'!$H:$H,MATCH(E12,'Dự thu chiết khấu'!$L:$L,0)),"")</f>
        <v>VF 6</v>
      </c>
      <c r="E12" s="4" t="str">
        <f>'Dự thu chiết khấu'!L9</f>
        <v>RLLVAG8CXTH719133</v>
      </c>
      <c r="F12" s="5" t="s">
        <v>104</v>
      </c>
      <c r="G12" s="5" t="str" cm="1">
        <f t="array" ref="G12">IFERROR(INDEX('DT-GV'!$X$6:$X$213,MATCH(1,('DT-GV'!$H$6:$H$213=E12)*('DT-GV'!$R$6:$R$213&lt;&gt;0),0)),IFERROR(VLOOKUP(E12,'DT-GV'!$H$6:$X$213,17,0),""))</f>
        <v>SLKD</v>
      </c>
      <c r="H12" s="6" t="str">
        <f>VLOOKUP(E12,'Dự thu chiết khấu'!$L$3:$M$226,2,0)</f>
        <v>S11006</v>
      </c>
      <c r="I12">
        <v>1</v>
      </c>
      <c r="J12" s="11">
        <f>VLOOKUP(E12,'Dự thu chiết khấu'!$L$3:$P$226,5,0)</f>
        <v>745000000</v>
      </c>
      <c r="K12" s="12">
        <f t="shared" si="1"/>
        <v>44700000</v>
      </c>
      <c r="L12" s="12">
        <f t="shared" si="2"/>
        <v>0</v>
      </c>
      <c r="M12" s="13">
        <f>IFERROR(VLOOKUP(E12,'Dự thu chiết khấu'!$L$3:$R$226,7,0),0)</f>
        <v>0</v>
      </c>
      <c r="N12" s="14">
        <f>IFERROR(VLOOKUP(E12,'Dự thu chiết khấu'!$L$3:$S$226,8,0),0)</f>
        <v>0.01</v>
      </c>
      <c r="O12" s="11">
        <f>IF(IFERROR(VLOOKUP(E12,'Dự thu chiết khấu'!$L$3:$T$226,9,0),0)&gt;0,J12*$O$5,0)</f>
        <v>0</v>
      </c>
      <c r="P12" s="13">
        <f>IFERROR(VLOOKUP(E12,'Dự thu chiết khấu'!$L$3:$U$226,10,0),0)</f>
        <v>0</v>
      </c>
      <c r="Q12" s="12">
        <f>IFERROR(VLOOKUP(E12,'Dự thu chiết khấu'!$L$3:$V$226,11,0),0)</f>
        <v>0</v>
      </c>
      <c r="R12" s="12">
        <f>VLOOKUP($E12,'Dự thu chiết khấu'!$L$3:$W$226,12,0)</f>
        <v>9000000</v>
      </c>
      <c r="S12" s="12">
        <f>(J12-K12-L12-O12-P12*J12-R12-Q12-(J12-K12-L12-AD12-AE12-AF12-Q12-O12-(P12*J12))*N12)/1.1</f>
        <v>622179090.90909088</v>
      </c>
      <c r="T12" s="11">
        <f>S12-SUM(U12:V12)</f>
        <v>-9.0909123420715332E-2</v>
      </c>
      <c r="U12" s="15">
        <f>SUMIFS('DT-GV'!$N$6:$N$213,'DT-GV'!$H$6:$H$213,E12,'DT-GV'!$R$6:$R$213,"&lt;&gt;0")</f>
        <v>622179091</v>
      </c>
      <c r="V12" s="48">
        <f>SUMIFS('DT-GV'!$N$6:$N$213,'DT-GV'!$H$6:$H$213,E12,'DT-GV'!$R$6:$R$213,0)</f>
        <v>0</v>
      </c>
      <c r="W12" s="15">
        <f>-SUMIFS('DT-GV'!$R$6:$R$213,'DT-GV'!$H$6:$H$213,E12)</f>
        <v>-650181818</v>
      </c>
      <c r="X12" s="11">
        <f>IFERROR(VLOOKUP($E12,'Dự thu chiết khấu'!$L$3:$AK$226,26,0)/1.1,0)</f>
        <v>45035345.454545453</v>
      </c>
      <c r="Y12" s="11">
        <f>IFERROR(VLOOKUP($E12,'Dự thu chiết khấu'!$L$3:$BE$226,46,0)/1.1,0)</f>
        <v>6303609.0909090908</v>
      </c>
      <c r="Z12" s="11">
        <f>-SUMIF('Lương năng suất'!$R$4:$R$208,E12,'Lương năng suất'!$AQ$4:$AQ$208)</f>
        <v>-8800000</v>
      </c>
      <c r="AA12" s="213" t="str">
        <f>IFERROR(IF(ISNUMBER(SEARCH("TẶNG",VLOOKUP(E12,'Dự thu chiết khấu'!$L$3:$AV$226,37,0))),"TẶNG",""),"")</f>
        <v/>
      </c>
      <c r="AB12" s="213" t="str">
        <f>IFERROR(IF(ISNUMBER(SEARCH("TẶNG",VLOOKUP(E12,'Dự thu chiết khấu'!$L$3:$AW$226,38,0))),"TẶNG",""),"")</f>
        <v/>
      </c>
      <c r="AC12" s="49">
        <f t="shared" si="5"/>
        <v>14536227.545454543</v>
      </c>
      <c r="AD12" s="11">
        <f>IFERROR(VLOOKUP(E12,'Dự thu chiết khấu'!$L$3:$AM$226,28,0),0)</f>
        <v>0</v>
      </c>
      <c r="AE12" s="11">
        <f>IFERROR(VLOOKUP(E12,'Dự thu chiết khấu'!$L$3:$AN$226,29,0),0)</f>
        <v>0</v>
      </c>
      <c r="AF12" s="11">
        <f>IFERROR(VLOOKUP(E12,'Dự thu chiết khấu'!$L$3:$AO$226,30,0),0)</f>
        <v>10000000</v>
      </c>
    </row>
    <row r="13" spans="1:32">
      <c r="A13" s="11">
        <v>7</v>
      </c>
      <c r="B13" t="str">
        <f>IFERROR(INDEX('Dự thu chiết khấu'!$E:$E,MATCH(E13,'Dự thu chiết khấu'!$L:$L,0)),"")</f>
        <v>HUỲNH QUỐC HUY</v>
      </c>
      <c r="C13" s="51" t="str">
        <f>IFERROR(INDEX('Dự thu chiết khấu'!$F:$F,MATCH(E13,'Dự thu chiết khấu'!$L:$L,0)),"")</f>
        <v>DƯƠNG THỂ PHƯỢNG</v>
      </c>
      <c r="D13" s="4" t="str">
        <f>IFERROR(INDEX('Dự thu chiết khấu'!$H:$H,MATCH(E13,'Dự thu chiết khấu'!$L:$L,0)),"")</f>
        <v>VF 5</v>
      </c>
      <c r="E13" s="4" t="str">
        <f>'Dự thu chiết khấu'!L10</f>
        <v>RLNV5JSE2TH732400</v>
      </c>
      <c r="F13" s="5" t="s">
        <v>104</v>
      </c>
      <c r="G13" s="5" t="str" cm="1">
        <f t="array" ref="G13">IFERROR(INDEX('DT-GV'!$X$6:$X$213,MATCH(1,('DT-GV'!$H$6:$H$213=E13)*('DT-GV'!$R$6:$R$213&lt;&gt;0),0)),IFERROR(VLOOKUP(E13,'DT-GV'!$H$6:$X$213,17,0),""))</f>
        <v>SLKD</v>
      </c>
      <c r="H13" s="6" t="str">
        <f>VLOOKUP(E13,'Dự thu chiết khấu'!$L$3:$M$226,2,0)</f>
        <v>S11007</v>
      </c>
      <c r="I13">
        <v>1</v>
      </c>
      <c r="J13" s="11">
        <f>VLOOKUP(E13,'Dự thu chiết khấu'!$L$3:$P$226,5,0)</f>
        <v>529000000</v>
      </c>
      <c r="K13" s="12">
        <f t="shared" si="1"/>
        <v>31740000</v>
      </c>
      <c r="L13" s="12">
        <f t="shared" si="2"/>
        <v>0</v>
      </c>
      <c r="M13" s="13">
        <f>IFERROR(VLOOKUP(E13,'Dự thu chiết khấu'!$L$3:$R$226,7,0),0)</f>
        <v>0</v>
      </c>
      <c r="N13" s="14">
        <f>IFERROR(VLOOKUP(E13,'Dự thu chiết khấu'!$L$3:$S$226,8,0),0)</f>
        <v>0</v>
      </c>
      <c r="O13" s="11">
        <f>IF(IFERROR(VLOOKUP(E13,'Dự thu chiết khấu'!$L$3:$T$226,9,0),0)&gt;0,J13*$O$5,0)</f>
        <v>15870000</v>
      </c>
      <c r="P13" s="13">
        <f>IFERROR(VLOOKUP(E13,'Dự thu chiết khấu'!$L$3:$U$226,10,0),0)</f>
        <v>0</v>
      </c>
      <c r="Q13" s="12">
        <f>IFERROR(VLOOKUP(E13,'Dự thu chiết khấu'!$L$3:$V$226,11,0),0)</f>
        <v>0</v>
      </c>
      <c r="R13" s="12">
        <f>VLOOKUP($E13,'Dự thu chiết khấu'!$L$3:$W$226,12,0)</f>
        <v>7000000</v>
      </c>
      <c r="S13" s="12">
        <f t="shared" si="3"/>
        <v>431263636.36363631</v>
      </c>
      <c r="T13" s="11">
        <f t="shared" si="4"/>
        <v>0.363636314868927</v>
      </c>
      <c r="U13" s="15">
        <f>SUMIFS('DT-GV'!$N$6:$N$213,'DT-GV'!$H$6:$H$213,E13,'DT-GV'!$R$6:$R$213,"&lt;&gt;0")</f>
        <v>431263636</v>
      </c>
      <c r="V13" s="48">
        <f>SUMIFS('DT-GV'!$N$6:$N$213,'DT-GV'!$H$6:$H$213,E13,'DT-GV'!$R$6:$R$213,0)</f>
        <v>0</v>
      </c>
      <c r="W13" s="15">
        <f>-SUMIFS('DT-GV'!$R$6:$R$213,'DT-GV'!$H$6:$H$213,E13)</f>
        <v>-461672727</v>
      </c>
      <c r="X13" s="11">
        <f>IFERROR(VLOOKUP($E13,'Dự thu chiết khấu'!$L$3:$AK$226,26,0)/1.1,0)</f>
        <v>41550545.454545453</v>
      </c>
      <c r="Y13" s="11">
        <f>IFERROR(VLOOKUP($E13,'Dự thu chiết khấu'!$L$3:$BE$226,46,0)/1.1,0)</f>
        <v>4376272.7272727266</v>
      </c>
      <c r="Z13" s="11">
        <f>-SUMIF('Lương năng suất'!$R$4:$R$208,E13,'Lương năng suất'!$AQ$4:$AQ$208)</f>
        <v>-7200000</v>
      </c>
      <c r="AA13" s="213" t="str">
        <f>IFERROR(IF(ISNUMBER(SEARCH("TẶNG",VLOOKUP(E13,'Dự thu chiết khấu'!$L$3:$AV$226,37,0))),"TẶNG",""),"")</f>
        <v/>
      </c>
      <c r="AB13" s="213" t="str">
        <f>IFERROR(IF(ISNUMBER(SEARCH("TẶNG",VLOOKUP(E13,'Dự thu chiết khấu'!$L$3:$AW$226,38,0))),"TẶNG",""),"")</f>
        <v/>
      </c>
      <c r="AC13" s="49">
        <f t="shared" si="5"/>
        <v>8317727.1818181798</v>
      </c>
      <c r="AD13" s="11">
        <f>IFERROR(VLOOKUP(E13,'Dự thu chiết khấu'!$L$3:$AM$226,28,0),0)</f>
        <v>0</v>
      </c>
      <c r="AE13" s="11">
        <f>IFERROR(VLOOKUP(E13,'Dự thu chiết khấu'!$L$3:$AN$226,29,0),0)</f>
        <v>0</v>
      </c>
      <c r="AF13" s="11">
        <f>IFERROR(VLOOKUP(E13,'Dự thu chiết khấu'!$L$3:$AO$226,30,0),0)</f>
        <v>0</v>
      </c>
    </row>
    <row r="14" spans="1:32">
      <c r="A14">
        <v>8</v>
      </c>
      <c r="B14" t="str">
        <f>IFERROR(INDEX('Dự thu chiết khấu'!$E:$E,MATCH(E14,'Dự thu chiết khấu'!$L:$L,0)),"")</f>
        <v>BÙI XUÂN MINH</v>
      </c>
      <c r="C14" s="51" t="str">
        <f>IFERROR(INDEX('Dự thu chiết khấu'!$F:$F,MATCH(E14,'Dự thu chiết khấu'!$L:$L,0)),"")</f>
        <v>NGUYỄN THỊ THANH HẰNG</v>
      </c>
      <c r="D14" s="4" t="str">
        <f>IFERROR(INDEX('Dự thu chiết khấu'!$H:$H,MATCH(E14,'Dự thu chiết khấu'!$L:$L,0)),"")</f>
        <v>VF 3</v>
      </c>
      <c r="E14" s="4" t="str">
        <f>'Dự thu chiết khấu'!L11</f>
        <v>RLNVBL9K9ST709725</v>
      </c>
      <c r="F14" s="5" t="s">
        <v>104</v>
      </c>
      <c r="G14" s="5" t="str" cm="1">
        <f t="array" ref="G14">IFERROR(INDEX('DT-GV'!$X$6:$X$213,MATCH(1,('DT-GV'!$H$6:$H$213=E14)*('DT-GV'!$R$6:$R$213&lt;&gt;0),0)),IFERROR(VLOOKUP(E14,'DT-GV'!$H$6:$X$213,17,0),""))</f>
        <v>SLKD</v>
      </c>
      <c r="H14" s="7" t="str">
        <f>VLOOKUP(E14,'Dự thu chiết khấu'!$L$3:$M$226,2,0)</f>
        <v>S11008</v>
      </c>
      <c r="I14">
        <v>1</v>
      </c>
      <c r="J14" s="11">
        <f>VLOOKUP(E14,'Dự thu chiết khấu'!$L$3:$P$226,5,0)</f>
        <v>310000000</v>
      </c>
      <c r="K14" s="12">
        <f t="shared" si="1"/>
        <v>18600000</v>
      </c>
      <c r="L14" s="12">
        <f t="shared" si="2"/>
        <v>0</v>
      </c>
      <c r="M14" s="13">
        <f>IFERROR(VLOOKUP(E14,'Dự thu chiết khấu'!$L$3:$R$226,7,0),0)</f>
        <v>0</v>
      </c>
      <c r="N14" s="14">
        <f>IFERROR(VLOOKUP(E14,'Dự thu chiết khấu'!$L$3:$S$226,8,0),0)</f>
        <v>0.01</v>
      </c>
      <c r="O14" s="11">
        <f>IF(IFERROR(VLOOKUP(E14,'Dự thu chiết khấu'!$L$3:$T$226,9,0),0)&gt;0,J14*$O$5,0)</f>
        <v>9300000</v>
      </c>
      <c r="P14" s="13">
        <f>IFERROR(VLOOKUP(E14,'Dự thu chiết khấu'!$L$3:$U$226,10,0),0)</f>
        <v>0</v>
      </c>
      <c r="Q14" s="12">
        <f>IFERROR(VLOOKUP(E14,'Dự thu chiết khấu'!$L$3:$V$226,11,0),0)</f>
        <v>18000000</v>
      </c>
      <c r="R14" s="12">
        <f>VLOOKUP($E14,'Dự thu chiết khấu'!$L$3:$W$226,12,0)</f>
        <v>7000000</v>
      </c>
      <c r="S14" s="12">
        <f>(J14-K14-L14-O14-P14*J14-R14-Q14-(J14-K14-L14-AD14-AE14-AF14-Q14-O14-(P14*J14))*N14)/1.1</f>
        <v>231326363.63636363</v>
      </c>
      <c r="T14" s="11">
        <f t="shared" si="4"/>
        <v>-0.36363637447357178</v>
      </c>
      <c r="U14" s="15">
        <f>SUMIFS('DT-GV'!$N$6:$N$213,'DT-GV'!$H$6:$H$213,E14,'DT-GV'!$R$6:$R$213,"&lt;&gt;0")</f>
        <v>231326364</v>
      </c>
      <c r="V14" s="48">
        <f>SUMIFS('DT-GV'!$N$6:$N$213,'DT-GV'!$H$6:$H$213,E14,'DT-GV'!$R$6:$R$213,0)</f>
        <v>0</v>
      </c>
      <c r="W14" s="15">
        <f>-SUMIFS('DT-GV'!$R$6:$R$213,'DT-GV'!$H$6:$H$213,E14)</f>
        <v>-273363636</v>
      </c>
      <c r="X14" s="11">
        <f>IFERROR(VLOOKUP($E14,'Dự thu chiết khấu'!$L$3:$AK$226,26,0)/1.1,0)</f>
        <v>45181236.36363636</v>
      </c>
      <c r="Y14" s="11">
        <f>IFERROR(VLOOKUP($E14,'Dự thu chiết khấu'!$L$3:$BE$226,46,0)/1.1,0)</f>
        <v>0</v>
      </c>
      <c r="Z14" s="11">
        <f>-SUMIF('Lương năng suất'!$R$4:$R$208,E14,'Lương năng suất'!$AQ$4:$AQ$208)</f>
        <v>-800000</v>
      </c>
      <c r="AA14" s="213" t="str">
        <f>IFERROR(IF(ISNUMBER(SEARCH("TẶNG",VLOOKUP(E14,'Dự thu chiết khấu'!$L$3:$AV$226,37,0))),"TẶNG",""),"")</f>
        <v/>
      </c>
      <c r="AB14" s="213" t="str">
        <f>IFERROR(IF(ISNUMBER(SEARCH("TẶNG",VLOOKUP(E14,'Dự thu chiết khấu'!$L$3:$AW$226,38,0))),"TẶNG",""),"")</f>
        <v/>
      </c>
      <c r="AC14" s="49">
        <f t="shared" si="5"/>
        <v>2343964.3636363596</v>
      </c>
      <c r="AD14" s="11">
        <f>IFERROR(VLOOKUP(E14,'Dự thu chiết khấu'!$L$3:$AM$226,28,0),0)</f>
        <v>0</v>
      </c>
      <c r="AE14" s="11">
        <f>IFERROR(VLOOKUP(E14,'Dự thu chiết khấu'!$L$3:$AN$226,29,0),0)</f>
        <v>0</v>
      </c>
      <c r="AF14" s="11">
        <f>IFERROR(VLOOKUP(E14,'Dự thu chiết khấu'!$L$3:$AO$226,30,0),0)</f>
        <v>0</v>
      </c>
    </row>
    <row r="15" spans="1:32" ht="23">
      <c r="A15" s="11">
        <v>9</v>
      </c>
      <c r="B15" t="str">
        <f>IFERROR(INDEX('Dự thu chiết khấu'!$E:$E,MATCH(E15,'Dự thu chiết khấu'!$L:$L,0)),"")</f>
        <v>BÙI XUÂN MINH</v>
      </c>
      <c r="C15" s="51" t="str">
        <f>IFERROR(INDEX('Dự thu chiết khấu'!$F:$F,MATCH(E15,'Dự thu chiết khấu'!$L:$L,0)),"")</f>
        <v>CÔNG TY CỔ PHẦN CÔNG NGHỆ HƯNG THÀNH ĐẠT</v>
      </c>
      <c r="D15" s="4" t="str">
        <f>IFERROR(INDEX('Dự thu chiết khấu'!$H:$H,MATCH(E15,'Dự thu chiết khấu'!$L:$L,0)),"")</f>
        <v>EC VAN</v>
      </c>
      <c r="E15" s="4" t="str">
        <f>'Dự thu chiết khấu'!L12</f>
        <v>RNXVGRPK3TT702498</v>
      </c>
      <c r="F15" s="5" t="s">
        <v>104</v>
      </c>
      <c r="G15" s="5" t="str" cm="1">
        <f t="array" ref="G15">IFERROR(INDEX('DT-GV'!$X$6:$X$213,MATCH(1,('DT-GV'!$H$6:$H$213=E15)*('DT-GV'!$R$6:$R$213&lt;&gt;0),0)),IFERROR(VLOOKUP(E15,'DT-GV'!$H$6:$X$213,17,0),""))</f>
        <v>SLKD</v>
      </c>
      <c r="H15" s="8" t="str">
        <f>VLOOKUP(E15,'Dự thu chiết khấu'!$L$3:$M$226,2,0)</f>
        <v>S11007</v>
      </c>
      <c r="I15">
        <v>1</v>
      </c>
      <c r="J15" s="11">
        <f>VLOOKUP(E15,'Dự thu chiết khấu'!$L$3:$P$226,5,0)</f>
        <v>305000000</v>
      </c>
      <c r="K15" s="12">
        <f t="shared" si="1"/>
        <v>18300000</v>
      </c>
      <c r="L15" s="12">
        <f t="shared" si="2"/>
        <v>0</v>
      </c>
      <c r="M15" s="13">
        <f>IFERROR(VLOOKUP(E15,'Dự thu chiết khấu'!$L$3:$R$226,7,0),0)</f>
        <v>0</v>
      </c>
      <c r="N15" s="14">
        <f>IFERROR(VLOOKUP(E15,'Dự thu chiết khấu'!$L$3:$S$226,8,0),0)</f>
        <v>0</v>
      </c>
      <c r="O15" s="11">
        <f>IF(IFERROR(VLOOKUP(E15,'Dự thu chiết khấu'!$L$3:$T$226,9,0),0)&gt;0,J15*$O$5,0)</f>
        <v>0</v>
      </c>
      <c r="P15" s="13">
        <f>IFERROR(VLOOKUP(E15,'Dự thu chiết khấu'!$L$3:$U$226,10,0),0)</f>
        <v>0</v>
      </c>
      <c r="Q15" s="12">
        <f>IFERROR(VLOOKUP(E15,'Dự thu chiết khấu'!$L$3:$V$226,11,0),0)</f>
        <v>0</v>
      </c>
      <c r="R15" s="12">
        <f>VLOOKUP($E15,'Dự thu chiết khấu'!$L$3:$W$226,12,0)</f>
        <v>3500000</v>
      </c>
      <c r="S15" s="12">
        <f t="shared" si="3"/>
        <v>257454545.45454544</v>
      </c>
      <c r="T15" s="11">
        <f t="shared" si="4"/>
        <v>0.45454543828964233</v>
      </c>
      <c r="U15" s="15">
        <f>SUMIFS('DT-GV'!$N$6:$N$213,'DT-GV'!$H$6:$H$213,E15,'DT-GV'!$R$6:$R$213,"&lt;&gt;0")</f>
        <v>257454545</v>
      </c>
      <c r="V15" s="48">
        <f>SUMIFS('DT-GV'!$N$6:$N$213,'DT-GV'!$H$6:$H$213,E15,'DT-GV'!$R$6:$R$213,0)</f>
        <v>0</v>
      </c>
      <c r="W15" s="15">
        <f>-SUMIFS('DT-GV'!$R$6:$R$213,'DT-GV'!$H$6:$H$213,E15)</f>
        <v>-266181818</v>
      </c>
      <c r="X15" s="11">
        <f>IFERROR(VLOOKUP($E15,'Dự thu chiết khấu'!$L$3:$AK$226,26,0)/1.1,0)</f>
        <v>15970909.09090909</v>
      </c>
      <c r="Y15" s="11">
        <f>IFERROR(VLOOKUP($E15,'Dự thu chiết khấu'!$L$3:$BE$226,46,0)/1.1,0)</f>
        <v>2606363.6363636362</v>
      </c>
      <c r="Z15" s="11">
        <f>-SUMIF('Lương năng suất'!$R$4:$R$208,E15,'Lương năng suất'!$AQ$4:$AQ$208)</f>
        <v>-3200000</v>
      </c>
      <c r="AA15" s="213" t="str">
        <f>IFERROR(IF(ISNUMBER(SEARCH("TẶNG",VLOOKUP(E15,'Dự thu chiết khấu'!$L$3:$AV$226,37,0))),"TẶNG",""),"")</f>
        <v/>
      </c>
      <c r="AB15" s="213" t="str">
        <f>IFERROR(IF(ISNUMBER(SEARCH("TẶNG",VLOOKUP(E15,'Dự thu chiết khấu'!$L$3:$AW$226,38,0))),"TẶNG",""),"")</f>
        <v/>
      </c>
      <c r="AC15" s="49">
        <f t="shared" si="5"/>
        <v>6649999.7272727266</v>
      </c>
      <c r="AD15" s="11">
        <f>IFERROR(VLOOKUP(E15,'Dự thu chiết khấu'!$L$3:$AM$226,28,0),0)</f>
        <v>0</v>
      </c>
      <c r="AE15" s="11">
        <f>IFERROR(VLOOKUP(E15,'Dự thu chiết khấu'!$L$3:$AN$226,29,0),0)</f>
        <v>0</v>
      </c>
      <c r="AF15" s="11">
        <f>IFERROR(VLOOKUP(E15,'Dự thu chiết khấu'!$L$3:$AO$226,30,0),0)</f>
        <v>5000000</v>
      </c>
    </row>
    <row r="16" spans="1:32">
      <c r="A16">
        <v>10</v>
      </c>
      <c r="B16" t="str">
        <f>IFERROR(INDEX('Dự thu chiết khấu'!$E:$E,MATCH(E16,'Dự thu chiết khấu'!$L:$L,0)),"")</f>
        <v>LÊ MINH SANG</v>
      </c>
      <c r="C16" s="51" t="str">
        <f>IFERROR(INDEX('Dự thu chiết khấu'!$F:$F,MATCH(E16,'Dự thu chiết khấu'!$L:$L,0)),"")</f>
        <v>PHAN QUỐC DUY</v>
      </c>
      <c r="D16" s="4" t="str">
        <f>IFERROR(INDEX('Dự thu chiết khấu'!$H:$H,MATCH(E16,'Dự thu chiết khấu'!$L:$L,0)),"")</f>
        <v>VF 5</v>
      </c>
      <c r="E16" s="4" t="str">
        <f>'Dự thu chiết khấu'!L13</f>
        <v>RLNV5JSE6TH714191</v>
      </c>
      <c r="F16" s="5" t="s">
        <v>104</v>
      </c>
      <c r="G16" s="5" t="str" cm="1">
        <f t="array" ref="G16">IFERROR(INDEX('DT-GV'!$X$6:$X$213,MATCH(1,('DT-GV'!$H$6:$H$213=E16)*('DT-GV'!$R$6:$R$213&lt;&gt;0),0)),IFERROR(VLOOKUP(E16,'DT-GV'!$H$6:$X$213,17,0),""))</f>
        <v>SLKD</v>
      </c>
      <c r="H16" s="6" t="str">
        <f>VLOOKUP(E16,'Dự thu chiết khấu'!$L$3:$M$226,2,0)</f>
        <v>S11006</v>
      </c>
      <c r="I16">
        <v>1</v>
      </c>
      <c r="J16" s="11">
        <f>VLOOKUP(E16,'Dự thu chiết khấu'!$L$3:$P$226,5,0)</f>
        <v>529000000</v>
      </c>
      <c r="K16" s="12">
        <f t="shared" si="1"/>
        <v>0</v>
      </c>
      <c r="L16" s="12">
        <f t="shared" si="2"/>
        <v>0</v>
      </c>
      <c r="M16" s="13">
        <f>IFERROR(VLOOKUP(E16,'Dự thu chiết khấu'!$L$3:$R$226,7,0),0)</f>
        <v>7.0000000000000007E-2</v>
      </c>
      <c r="N16" s="14">
        <f>IFERROR(VLOOKUP(E16,'Dự thu chiết khấu'!$L$3:$S$226,8,0),0)</f>
        <v>0</v>
      </c>
      <c r="O16" s="11">
        <f>IF(IFERROR(VLOOKUP(E16,'Dự thu chiết khấu'!$L$3:$T$226,9,0),0)&gt;0,J16*$O$5,0)</f>
        <v>15870000</v>
      </c>
      <c r="P16" s="13">
        <f>IFERROR(VLOOKUP(E16,'Dự thu chiết khấu'!$L$3:$U$226,10,0),0)</f>
        <v>0</v>
      </c>
      <c r="Q16" s="12">
        <f>IFERROR(VLOOKUP(E16,'Dự thu chiết khấu'!$L$3:$V$226,11,0),0)</f>
        <v>0</v>
      </c>
      <c r="R16" s="12">
        <f>VLOOKUP($E16,'Dự thu chiết khấu'!$L$3:$W$226,12,0)</f>
        <v>7000000</v>
      </c>
      <c r="S16" s="12">
        <f t="shared" si="3"/>
        <v>460118181.81818175</v>
      </c>
      <c r="T16" s="11">
        <f t="shared" si="4"/>
        <v>-0.18181824684143066</v>
      </c>
      <c r="U16" s="15">
        <f>SUMIFS('DT-GV'!$N$6:$N$213,'DT-GV'!$H$6:$H$213,E16,'DT-GV'!$R$6:$R$213,"&lt;&gt;0")</f>
        <v>460118182</v>
      </c>
      <c r="V16" s="48">
        <f>SUMIFS('DT-GV'!$N$6:$N$213,'DT-GV'!$H$6:$H$213,E16,'DT-GV'!$R$6:$R$213,0)</f>
        <v>0</v>
      </c>
      <c r="W16" s="15">
        <f>-SUMIFS('DT-GV'!$R$6:$R$213,'DT-GV'!$H$6:$H$213,E16)</f>
        <v>-461672727</v>
      </c>
      <c r="X16" s="11">
        <f>IFERROR(VLOOKUP($E16,'Dự thu chiết khấu'!$L$3:$AK$226,26,0)/1.1,0)</f>
        <v>13850181.818181816</v>
      </c>
      <c r="Y16" s="11">
        <f>IFERROR(VLOOKUP($E16,'Dự thu chiết khấu'!$L$3:$BE$226,46,0)/1.1,0)</f>
        <v>4664818.1818181816</v>
      </c>
      <c r="Z16" s="11">
        <f>-SUMIF('Lương năng suất'!$R$4:$R$208,E16,'Lương năng suất'!$AQ$4:$AQ$208)</f>
        <v>-7200000</v>
      </c>
      <c r="AA16" s="213" t="str">
        <f>IFERROR(IF(ISNUMBER(SEARCH("TẶNG",VLOOKUP(E16,'Dự thu chiết khấu'!$L$3:$AV$226,37,0))),"TẶNG",""),"")</f>
        <v/>
      </c>
      <c r="AB16" s="213" t="str">
        <f>IFERROR(IF(ISNUMBER(SEARCH("TẶNG",VLOOKUP(E16,'Dự thu chiết khấu'!$L$3:$AW$226,38,0))),"TẶNG",""),"")</f>
        <v/>
      </c>
      <c r="AC16" s="49">
        <f t="shared" si="5"/>
        <v>9760455</v>
      </c>
      <c r="AD16" s="11">
        <f>IFERROR(VLOOKUP(E16,'Dự thu chiết khấu'!$L$3:$AM$226,28,0),0)</f>
        <v>0</v>
      </c>
      <c r="AE16" s="11">
        <f>IFERROR(VLOOKUP(E16,'Dự thu chiết khấu'!$L$3:$AN$226,29,0),0)</f>
        <v>0</v>
      </c>
      <c r="AF16" s="11">
        <f>IFERROR(VLOOKUP(E16,'Dự thu chiết khấu'!$L$3:$AO$226,30,0),0)</f>
        <v>0</v>
      </c>
    </row>
    <row r="17" spans="1:32">
      <c r="A17" s="11">
        <v>11</v>
      </c>
      <c r="B17" t="str">
        <f>IFERROR(INDEX('Dự thu chiết khấu'!$E:$E,MATCH(E17,'Dự thu chiết khấu'!$L:$L,0)),"")</f>
        <v>Nguyễn Hữu Thanh Tú</v>
      </c>
      <c r="C17" s="51" t="str">
        <f>IFERROR(INDEX('Dự thu chiết khấu'!$F:$F,MATCH(E17,'Dự thu chiết khấu'!$L:$L,0)),"")</f>
        <v>PHẠM NGUYỄN THANH LIÊM</v>
      </c>
      <c r="D17" s="4" t="str">
        <f>IFERROR(INDEX('Dự thu chiết khấu'!$H:$H,MATCH(E17,'Dự thu chiết khấu'!$L:$L,0)),"")</f>
        <v>VF 8</v>
      </c>
      <c r="E17" s="4" t="str">
        <f>'Dự thu chiết khấu'!L14</f>
        <v>RLLV1AUA2TH997462</v>
      </c>
      <c r="F17" s="5" t="s">
        <v>112</v>
      </c>
      <c r="G17" s="5" t="str" cm="1">
        <f t="array" ref="G17">IFERROR(INDEX('DT-GV'!$X$6:$X$213,MATCH(1,('DT-GV'!$H$6:$H$213=E17)*('DT-GV'!$R$6:$R$213&lt;&gt;0),0)),IFERROR(VLOOKUP(E17,'DT-GV'!$H$6:$X$213,17,0),""))</f>
        <v>BLKD</v>
      </c>
      <c r="H17" s="6" t="str">
        <f>VLOOKUP(E17,'Dự thu chiết khấu'!$L$3:$M$226,2,0)</f>
        <v>S11006</v>
      </c>
      <c r="I17">
        <v>1</v>
      </c>
      <c r="J17" s="11">
        <f>VLOOKUP(E17,'Dự thu chiết khấu'!$L$3:$P$226,5,0)</f>
        <v>1211000000</v>
      </c>
      <c r="K17" s="12">
        <f t="shared" si="1"/>
        <v>0</v>
      </c>
      <c r="L17" s="12">
        <f t="shared" si="2"/>
        <v>121100000</v>
      </c>
      <c r="M17" s="13">
        <f>IFERROR(VLOOKUP(E17,'Dự thu chiết khấu'!$L$3:$R$226,7,0),0)</f>
        <v>0</v>
      </c>
      <c r="N17" s="14">
        <f>IFERROR(VLOOKUP(E17,'Dự thu chiết khấu'!$L$3:$S$226,8,0),0)</f>
        <v>0</v>
      </c>
      <c r="O17" s="11">
        <f>IF(IFERROR(VLOOKUP(E17,'Dự thu chiết khấu'!$L$3:$T$226,9,0),0)&gt;0,J17*$O$5,0)</f>
        <v>0</v>
      </c>
      <c r="P17" s="13">
        <f>IFERROR(VLOOKUP(E17,'Dự thu chiết khấu'!$L$3:$U$226,10,0),0)</f>
        <v>0.05</v>
      </c>
      <c r="Q17" s="12">
        <f>IFERROR(VLOOKUP(E17,'Dự thu chiết khấu'!$L$3:$V$226,11,0),0)</f>
        <v>0</v>
      </c>
      <c r="R17" s="12">
        <f>VLOOKUP($E17,'Dự thu chiết khấu'!$L$3:$W$226,12,0)</f>
        <v>0</v>
      </c>
      <c r="S17" s="12">
        <f t="shared" si="3"/>
        <v>935772727.27272725</v>
      </c>
      <c r="T17" s="11">
        <f t="shared" si="4"/>
        <v>0.27272725105285645</v>
      </c>
      <c r="U17" s="15">
        <f>SUMIFS('DT-GV'!$N$6:$N$213,'DT-GV'!$H$6:$H$213,E17,'DT-GV'!$R$6:$R$213,"&lt;&gt;0")</f>
        <v>935772727</v>
      </c>
      <c r="V17" s="48">
        <f>SUMIFS('DT-GV'!$N$6:$N$213,'DT-GV'!$H$6:$H$213,E17,'DT-GV'!$R$6:$R$213,0)</f>
        <v>0</v>
      </c>
      <c r="W17" s="15">
        <f>-SUMIFS('DT-GV'!$R$6:$R$213,'DT-GV'!$H$6:$H$213,E17)</f>
        <v>-1040359091</v>
      </c>
      <c r="X17" s="11">
        <f>IFERROR(VLOOKUP($E17,'Dự thu chiết khấu'!$L$3:$AK$226,26,0)/1.1,0)</f>
        <v>128531136.36363636</v>
      </c>
      <c r="Y17" s="11">
        <f>IFERROR(VLOOKUP($E17,'Dự thu chiết khấu'!$L$3:$BE$226,46,0)/1.1,0)</f>
        <v>18715454.545454543</v>
      </c>
      <c r="Z17" s="11">
        <f>-SUMIF('Lương năng suất'!$R$4:$R$208,E17,'Lương năng suất'!$AQ$4:$AQ$208)</f>
        <v>-10800000</v>
      </c>
      <c r="AA17" s="213" t="str">
        <f>IFERROR(IF(ISNUMBER(SEARCH("TẶNG",VLOOKUP(E17,'Dự thu chiết khấu'!$L$3:$AV$226,37,0))),"TẶNG",""),"")</f>
        <v/>
      </c>
      <c r="AB17" s="213" t="str">
        <f>IFERROR(IF(ISNUMBER(SEARCH("TẶNG",VLOOKUP(E17,'Dự thu chiết khấu'!$L$3:$AW$226,38,0))),"TẶNG",""),"")</f>
        <v/>
      </c>
      <c r="AC17" s="49">
        <f t="shared" si="5"/>
        <v>31860226.909090906</v>
      </c>
      <c r="AD17" s="11">
        <f>IFERROR(VLOOKUP(E17,'Dự thu chiết khấu'!$L$3:$AM$226,28,0),0)</f>
        <v>0</v>
      </c>
      <c r="AE17" s="11">
        <f>IFERROR(VLOOKUP(E17,'Dự thu chiết khấu'!$L$3:$AN$226,29,0),0)</f>
        <v>0</v>
      </c>
      <c r="AF17" s="11">
        <f>IFERROR(VLOOKUP(E17,'Dự thu chiết khấu'!$L$3:$AO$226,30,0),0)</f>
        <v>0</v>
      </c>
    </row>
    <row r="18" spans="1:32" s="52" customFormat="1">
      <c r="A18">
        <v>12</v>
      </c>
      <c r="B18" t="str">
        <f>IFERROR(INDEX('Dự thu chiết khấu'!$E:$E,MATCH(E18,'Dự thu chiết khấu'!$L:$L,0)),"")</f>
        <v>Hoàng Ngọc Tú</v>
      </c>
      <c r="C18" s="51" t="str">
        <f>IFERROR(INDEX('Dự thu chiết khấu'!$F:$F,MATCH(E18,'Dự thu chiết khấu'!$L:$L,0)),"")</f>
        <v>VÕ LÊ NGÂN</v>
      </c>
      <c r="D18" s="4" t="str">
        <f>IFERROR(INDEX('Dự thu chiết khấu'!$H:$H,MATCH(E18,'Dự thu chiết khấu'!$L:$L,0)),"")</f>
        <v>MINIO GREEN</v>
      </c>
      <c r="E18" s="4" t="str">
        <f>'Dự thu chiết khấu'!L15</f>
        <v>RLNVMNMS7ST700177</v>
      </c>
      <c r="F18" s="5" t="s">
        <v>112</v>
      </c>
      <c r="G18" s="5" t="str" cm="1">
        <f t="array" ref="G18">IFERROR(INDEX('DT-GV'!$X$6:$X$213,MATCH(1,('DT-GV'!$H$6:$H$213=E18)*('DT-GV'!$R$6:$R$213&lt;&gt;0),0)),IFERROR(VLOOKUP(E18,'DT-GV'!$H$6:$X$213,17,0),""))</f>
        <v>BLKD</v>
      </c>
      <c r="H18" s="53" t="str">
        <f>VLOOKUP(E18,'Dự thu chiết khấu'!$L$3:$M$226,2,0)</f>
        <v>S11006</v>
      </c>
      <c r="I18" s="52">
        <v>1</v>
      </c>
      <c r="J18" s="54">
        <f>VLOOKUP(E18,'Dự thu chiết khấu'!$L$3:$P$226,5,0)</f>
        <v>269000000</v>
      </c>
      <c r="K18" s="55">
        <f t="shared" si="1"/>
        <v>16140000</v>
      </c>
      <c r="L18" s="55">
        <f t="shared" si="2"/>
        <v>0</v>
      </c>
      <c r="M18" s="56">
        <f>IFERROR(VLOOKUP(E18,'Dự thu chiết khấu'!$L$3:$R$226,7,0),0)</f>
        <v>0</v>
      </c>
      <c r="N18" s="14">
        <f>IFERROR(VLOOKUP(E18,'Dự thu chiết khấu'!$L$3:$S$226,8,0),0)</f>
        <v>0</v>
      </c>
      <c r="O18" s="11">
        <f>IF(IFERROR(VLOOKUP(E18,'Dự thu chiết khấu'!$L$3:$T$226,9,0),0)&gt;0,J18*$O$5,0)</f>
        <v>0</v>
      </c>
      <c r="P18" s="56">
        <f>IFERROR(VLOOKUP(E18,'Dự thu chiết khấu'!$L$3:$U$226,10,0),0)</f>
        <v>0</v>
      </c>
      <c r="Q18" s="55">
        <f>IFERROR(VLOOKUP(E18,'Dự thu chiết khấu'!$L$3:$V$226,11,0),0)</f>
        <v>6000000</v>
      </c>
      <c r="R18" s="12">
        <f>VLOOKUP($E18,'Dự thu chiết khấu'!$L$3:$W$226,12,0)</f>
        <v>0</v>
      </c>
      <c r="S18" s="12">
        <f t="shared" si="3"/>
        <v>224418181.81818181</v>
      </c>
      <c r="T18" s="11">
        <f t="shared" si="4"/>
        <v>-0.18181818723678589</v>
      </c>
      <c r="U18" s="15">
        <f>SUMIFS('DT-GV'!$N$6:$N$213,'DT-GV'!$H$6:$H$213,E18,'DT-GV'!$R$6:$R$213,"&lt;&gt;0")</f>
        <v>224418182</v>
      </c>
      <c r="V18" s="48">
        <f>SUMIFS('DT-GV'!$N$6:$N$213,'DT-GV'!$H$6:$H$213,E18,'DT-GV'!$R$6:$R$213,0)</f>
        <v>0</v>
      </c>
      <c r="W18" s="15">
        <f>-SUMIFS('DT-GV'!$R$6:$R$213,'DT-GV'!$H$6:$H$213,E18)</f>
        <v>-234763636</v>
      </c>
      <c r="X18" s="54">
        <f>IFERROR(VLOOKUP($E18,'Dự thu chiết khấu'!$L$3:$AK$226,26,0)/1.1,0)</f>
        <v>19322181.818181816</v>
      </c>
      <c r="Y18" s="54">
        <f>IFERROR(VLOOKUP($E18,'Dự thu chiết khấu'!$L$3:$BE$226,46,0)/1.1,0)</f>
        <v>2244181.8181818179</v>
      </c>
      <c r="Z18" s="11">
        <f>-SUMIF('Lương năng suất'!$R$4:$R$208,E18,'Lương năng suất'!$AQ$4:$AQ$208)</f>
        <v>-5200000</v>
      </c>
      <c r="AA18" s="214" t="str">
        <f>IFERROR(IF(ISNUMBER(SEARCH("TẶNG",VLOOKUP(E18,'Dự thu chiết khấu'!$L$3:$AV$226,37,0))),"TẶNG",""),"")</f>
        <v/>
      </c>
      <c r="AB18" s="214" t="str">
        <f>IFERROR(IF(ISNUMBER(SEARCH("TẶNG",VLOOKUP(E18,'Dự thu chiết khấu'!$L$3:$AW$226,38,0))),"TẶNG",""),"")</f>
        <v/>
      </c>
      <c r="AC18" s="57">
        <f>SUM(U18:AB18)</f>
        <v>6020909.6363636348</v>
      </c>
      <c r="AD18" s="11">
        <f>IFERROR(VLOOKUP(E18,'Dự thu chiết khấu'!$L$3:$AM$226,28,0),0)</f>
        <v>0</v>
      </c>
      <c r="AE18" s="11">
        <f>IFERROR(VLOOKUP(E18,'Dự thu chiết khấu'!$L$3:$AN$226,29,0),0)</f>
        <v>0</v>
      </c>
      <c r="AF18" s="11">
        <f>IFERROR(VLOOKUP(E18,'Dự thu chiết khấu'!$L$3:$AO$226,30,0),0)</f>
        <v>5000000</v>
      </c>
    </row>
    <row r="19" spans="1:32" ht="23">
      <c r="A19" s="11">
        <v>13</v>
      </c>
      <c r="B19" t="str">
        <f>IFERROR(INDEX('Dự thu chiết khấu'!$E:$E,MATCH(E19,'Dự thu chiết khấu'!$L:$L,0)),"")</f>
        <v>Bùi Văn Quốc Trí</v>
      </c>
      <c r="C19" s="51" t="str">
        <f>IFERROR(INDEX('Dự thu chiết khấu'!$F:$F,MATCH(E19,'Dự thu chiết khấu'!$L:$L,0)),"")</f>
        <v>CÔNG TY TNHH PEACE - LON VIETNAM</v>
      </c>
      <c r="D19" s="4" t="str">
        <f>IFERROR(INDEX('Dự thu chiết khấu'!$H:$H,MATCH(E19,'Dự thu chiết khấu'!$L:$L,0)),"")</f>
        <v>MPV 7</v>
      </c>
      <c r="E19" s="4" t="str">
        <f>'Dự thu chiết khấu'!L16</f>
        <v>RLLVFPTT0TH733714</v>
      </c>
      <c r="F19" s="5" t="s">
        <v>112</v>
      </c>
      <c r="G19" s="5" t="str" cm="1">
        <f t="array" ref="G19">IFERROR(INDEX('DT-GV'!$X$6:$X$213,MATCH(1,('DT-GV'!$H$6:$H$213=E19)*('DT-GV'!$R$6:$R$213&lt;&gt;0),0)),IFERROR(VLOOKUP(E19,'DT-GV'!$H$6:$X$213,17,0),""))</f>
        <v>BLKD</v>
      </c>
      <c r="H19" s="6" t="str">
        <f>VLOOKUP(E19,'Dự thu chiết khấu'!$L$3:$M$226,2,0)</f>
        <v>S11001</v>
      </c>
      <c r="I19">
        <v>1</v>
      </c>
      <c r="J19" s="11">
        <f>VLOOKUP(E19,'Dự thu chiết khấu'!$L$3:$P$226,5,0)</f>
        <v>819000000</v>
      </c>
      <c r="K19" s="12">
        <f t="shared" si="1"/>
        <v>49140000</v>
      </c>
      <c r="L19" s="12">
        <f t="shared" si="2"/>
        <v>0</v>
      </c>
      <c r="M19" s="13">
        <f>IFERROR(VLOOKUP(E19,'Dự thu chiết khấu'!$L$3:$R$226,7,0),0)</f>
        <v>0</v>
      </c>
      <c r="N19" s="14">
        <f>IFERROR(VLOOKUP(E19,'Dự thu chiết khấu'!$L$3:$S$226,8,0),0)</f>
        <v>0</v>
      </c>
      <c r="O19" s="11">
        <f>IF(IFERROR(VLOOKUP(E19,'Dự thu chiết khấu'!$L$3:$T$226,9,0),0)&gt;0,J19*$O$5,0)</f>
        <v>0</v>
      </c>
      <c r="P19" s="13">
        <f>IFERROR(VLOOKUP(E19,'Dự thu chiết khấu'!$L$3:$U$226,10,0),0)</f>
        <v>0</v>
      </c>
      <c r="Q19" s="12">
        <f>IFERROR(VLOOKUP(E19,'Dự thu chiết khấu'!$L$3:$V$226,11,0),0)</f>
        <v>0</v>
      </c>
      <c r="R19" s="12">
        <f>VLOOKUP($E19,'Dự thu chiết khấu'!$L$3:$W$226,12,0)</f>
        <v>0</v>
      </c>
      <c r="S19" s="12">
        <f t="shared" si="3"/>
        <v>699872727.27272725</v>
      </c>
      <c r="T19" s="11">
        <f t="shared" si="4"/>
        <v>0.27272725105285645</v>
      </c>
      <c r="U19" s="15">
        <f>SUMIFS('DT-GV'!$N$6:$N$213,'DT-GV'!$H$6:$H$213,E19,'DT-GV'!$R$6:$R$213,"&lt;&gt;0")</f>
        <v>699872727</v>
      </c>
      <c r="V19" s="48">
        <f>SUMIFS('DT-GV'!$N$6:$N$213,'DT-GV'!$H$6:$H$213,E19,'DT-GV'!$R$6:$R$213,0)</f>
        <v>0</v>
      </c>
      <c r="W19" s="15">
        <f>-SUMIFS('DT-GV'!$R$6:$R$213,'DT-GV'!$H$6:$H$213,E19)</f>
        <v>-714763636</v>
      </c>
      <c r="X19" s="11">
        <f>IFERROR(VLOOKUP($E19,'Dự thu chiết khấu'!$L$3:$AK$226,26,0)/1.1,0)</f>
        <v>42885818.18181818</v>
      </c>
      <c r="Y19" s="11">
        <f>IFERROR(VLOOKUP($E19,'Dự thu chiết khấu'!$L$3:$BE$226,46,0)/1.1,0)</f>
        <v>0</v>
      </c>
      <c r="Z19" s="11">
        <f>-SUMIF('Lương năng suất'!$R$4:$R$208,E19,'Lương năng suất'!$AQ$4:$AQ$208)</f>
        <v>-16000000</v>
      </c>
      <c r="AA19" s="213" t="str">
        <f>IFERROR(IF(ISNUMBER(SEARCH("TẶNG",VLOOKUP(E19,'Dự thu chiết khấu'!$L$3:$AV$226,37,0))),"TẶNG",""),"")</f>
        <v/>
      </c>
      <c r="AB19" s="213" t="str">
        <f>IFERROR(IF(ISNUMBER(SEARCH("TẶNG",VLOOKUP(E19,'Dự thu chiết khấu'!$L$3:$AW$226,38,0))),"TẶNG",""),"")</f>
        <v/>
      </c>
      <c r="AC19" s="49">
        <f t="shared" si="5"/>
        <v>11994909.18181818</v>
      </c>
      <c r="AD19" s="11">
        <f>IFERROR(VLOOKUP(E19,'Dự thu chiết khấu'!$L$3:$AM$226,28,0),0)</f>
        <v>15000000</v>
      </c>
      <c r="AE19" s="11">
        <f>IFERROR(VLOOKUP(E19,'Dự thu chiết khấu'!$L$3:$AN$226,29,0),0)</f>
        <v>0</v>
      </c>
      <c r="AF19" s="11">
        <f>IFERROR(VLOOKUP(E19,'Dự thu chiết khấu'!$L$3:$AO$226,30,0),0)</f>
        <v>0</v>
      </c>
    </row>
    <row r="20" spans="1:32">
      <c r="A20">
        <v>14</v>
      </c>
      <c r="B20" t="str">
        <f>IFERROR(INDEX('Dự thu chiết khấu'!$E:$E,MATCH(E20,'Dự thu chiết khấu'!$L:$L,0)),"")</f>
        <v>Bùi Minh Trung</v>
      </c>
      <c r="C20" s="51" t="str">
        <f>IFERROR(INDEX('Dự thu chiết khấu'!$F:$F,MATCH(E20,'Dự thu chiết khấu'!$L:$L,0)),"")</f>
        <v>TRƯƠNG MINH KHANG</v>
      </c>
      <c r="D20" s="4" t="str">
        <f>IFERROR(INDEX('Dự thu chiết khấu'!$H:$H,MATCH(E20,'Dự thu chiết khấu'!$L:$L,0)),"")</f>
        <v>VF 3</v>
      </c>
      <c r="E20" s="4" t="str">
        <f>'Dự thu chiết khấu'!L17</f>
        <v>RLNVBL9K4TT707902</v>
      </c>
      <c r="F20" s="5" t="s">
        <v>112</v>
      </c>
      <c r="G20" s="5" t="str" cm="1">
        <f t="array" ref="G20">IFERROR(INDEX('DT-GV'!$X$6:$X$213,MATCH(1,('DT-GV'!$H$6:$H$213=E20)*('DT-GV'!$R$6:$R$213&lt;&gt;0),0)),IFERROR(VLOOKUP(E20,'DT-GV'!$H$6:$X$213,17,0),""))</f>
        <v>BLKD</v>
      </c>
      <c r="H20" s="8" t="str">
        <f>VLOOKUP(E20,'Dự thu chiết khấu'!$L$3:$M$226,2,0)</f>
        <v>S11006</v>
      </c>
      <c r="I20">
        <v>1</v>
      </c>
      <c r="J20" s="11">
        <f>VLOOKUP(E20,'Dự thu chiết khấu'!$L$3:$P$226,5,0)</f>
        <v>302000000</v>
      </c>
      <c r="K20" s="12">
        <f t="shared" si="1"/>
        <v>18120000</v>
      </c>
      <c r="L20" s="12">
        <f t="shared" si="2"/>
        <v>0</v>
      </c>
      <c r="M20" s="13">
        <f>IFERROR(VLOOKUP(E20,'Dự thu chiết khấu'!$L$3:$R$226,7,0),0)</f>
        <v>0</v>
      </c>
      <c r="N20" s="14">
        <f>IFERROR(VLOOKUP(E20,'Dự thu chiết khấu'!$L$3:$S$226,8,0),0)</f>
        <v>0</v>
      </c>
      <c r="O20" s="11">
        <f>IF(IFERROR(VLOOKUP(E20,'Dự thu chiết khấu'!$L$3:$T$226,9,0),0)&gt;0,J20*$O$5,0)</f>
        <v>0</v>
      </c>
      <c r="P20" s="13">
        <f>IFERROR(VLOOKUP(E20,'Dự thu chiết khấu'!$L$3:$U$226,10,0),0)</f>
        <v>0</v>
      </c>
      <c r="Q20" s="12">
        <f>IFERROR(VLOOKUP(E20,'Dự thu chiết khấu'!$L$3:$V$226,11,0),0)</f>
        <v>0</v>
      </c>
      <c r="R20" s="12">
        <f>VLOOKUP($E20,'Dự thu chiết khấu'!$L$3:$W$226,12,0)</f>
        <v>0</v>
      </c>
      <c r="S20" s="12">
        <f t="shared" si="3"/>
        <v>258072727.27272725</v>
      </c>
      <c r="T20" s="11">
        <f t="shared" si="4"/>
        <v>0.27272725105285645</v>
      </c>
      <c r="U20" s="15">
        <f>SUMIFS('DT-GV'!$N$6:$N$213,'DT-GV'!$H$6:$H$213,E20,'DT-GV'!$R$6:$R$213,"&lt;&gt;0")</f>
        <v>258072727</v>
      </c>
      <c r="V20" s="48">
        <f>SUMIFS('DT-GV'!$N$6:$N$213,'DT-GV'!$H$6:$H$213,E20,'DT-GV'!$R$6:$R$213,0)</f>
        <v>0</v>
      </c>
      <c r="W20" s="15">
        <f>-SUMIFS('DT-GV'!$R$6:$R$213,'DT-GV'!$H$6:$H$213,E20)</f>
        <v>-263563636</v>
      </c>
      <c r="X20" s="11">
        <f>IFERROR(VLOOKUP($E20,'Dự thu chiết khấu'!$L$3:$AK$226,26,0)/1.1,0)</f>
        <v>15813818.18181818</v>
      </c>
      <c r="Y20" s="11">
        <f>IFERROR(VLOOKUP($E20,'Dự thu chiết khấu'!$L$3:$BE$226,46,0)/1.1,0)</f>
        <v>2580727.2727272725</v>
      </c>
      <c r="Z20" s="11">
        <f>-SUMIF('Lương năng suất'!$R$4:$R$208,E20,'Lương năng suất'!$AQ$4:$AQ$208)</f>
        <v>-4800000</v>
      </c>
      <c r="AA20" s="213" t="str">
        <f>IFERROR(IF(ISNUMBER(SEARCH("TẶNG",VLOOKUP(E20,'Dự thu chiết khấu'!$L$3:$AV$226,37,0))),"TẶNG",""),"")</f>
        <v/>
      </c>
      <c r="AB20" s="213" t="str">
        <f>IFERROR(IF(ISNUMBER(SEARCH("TẶNG",VLOOKUP(E20,'Dự thu chiết khấu'!$L$3:$AW$226,38,0))),"TẶNG",""),"")</f>
        <v/>
      </c>
      <c r="AC20" s="49">
        <f t="shared" si="5"/>
        <v>8103636.4545454532</v>
      </c>
      <c r="AD20" s="11">
        <f>IFERROR(VLOOKUP(E20,'Dự thu chiết khấu'!$L$3:$AM$226,28,0),0)</f>
        <v>0</v>
      </c>
      <c r="AE20" s="11">
        <f>IFERROR(VLOOKUP(E20,'Dự thu chiết khấu'!$L$3:$AN$226,29,0),0)</f>
        <v>0</v>
      </c>
      <c r="AF20" s="11">
        <f>IFERROR(VLOOKUP(E20,'Dự thu chiết khấu'!$L$3:$AO$226,30,0),0)</f>
        <v>0</v>
      </c>
    </row>
    <row r="21" spans="1:32">
      <c r="A21" s="11">
        <v>15</v>
      </c>
      <c r="B21" t="str">
        <f>IFERROR(INDEX('Dự thu chiết khấu'!$E:$E,MATCH(E21,'Dự thu chiết khấu'!$L:$L,0)),"")</f>
        <v>Trương Hoàng Khả</v>
      </c>
      <c r="C21" s="51" t="str">
        <f>IFERROR(INDEX('Dự thu chiết khấu'!$F:$F,MATCH(E21,'Dự thu chiết khấu'!$L:$L,0)),"")</f>
        <v>TÔ VĂN PHONG</v>
      </c>
      <c r="D21" s="4" t="str">
        <f>IFERROR(INDEX('Dự thu chiết khấu'!$H:$H,MATCH(E21,'Dự thu chiết khấu'!$L:$L,0)),"")</f>
        <v>LIMO GREEN</v>
      </c>
      <c r="E21" s="4" t="str">
        <f>'Dự thu chiết khấu'!L18</f>
        <v>RLLVFPNT5TH707865</v>
      </c>
      <c r="F21" s="5" t="s">
        <v>112</v>
      </c>
      <c r="G21" s="5" t="str" cm="1">
        <f t="array" ref="G21">IFERROR(INDEX('DT-GV'!$X$6:$X$213,MATCH(1,('DT-GV'!$H$6:$H$213=E21)*('DT-GV'!$R$6:$R$213&lt;&gt;0),0)),IFERROR(VLOOKUP(E21,'DT-GV'!$H$6:$X$213,17,0),""))</f>
        <v>BLKD</v>
      </c>
      <c r="H21" s="6" t="str">
        <f>VLOOKUP(E21,'Dự thu chiết khấu'!$L$3:$M$226,2,0)</f>
        <v>S11006</v>
      </c>
      <c r="I21">
        <v>1</v>
      </c>
      <c r="J21" s="11">
        <f>VLOOKUP(E21,'Dự thu chiết khấu'!$L$3:$P$226,5,0)</f>
        <v>749000000</v>
      </c>
      <c r="K21" s="12">
        <f t="shared" si="1"/>
        <v>44940000</v>
      </c>
      <c r="L21" s="12">
        <f t="shared" si="2"/>
        <v>0</v>
      </c>
      <c r="M21" s="13">
        <f>IFERROR(VLOOKUP(E21,'Dự thu chiết khấu'!$L$3:$R$226,7,0),0)</f>
        <v>0</v>
      </c>
      <c r="N21" s="14">
        <f>IFERROR(VLOOKUP(E21,'Dự thu chiết khấu'!$L$3:$S$226,8,0),0)</f>
        <v>0</v>
      </c>
      <c r="O21" s="11">
        <f>IF(IFERROR(VLOOKUP(E21,'Dự thu chiết khấu'!$L$3:$T$226,9,0),0)&gt;0,J21*$O$5,0)</f>
        <v>0</v>
      </c>
      <c r="P21" s="13">
        <f>IFERROR(VLOOKUP(E21,'Dự thu chiết khấu'!$L$3:$U$226,10,0),0)</f>
        <v>0</v>
      </c>
      <c r="Q21" s="12">
        <f>IFERROR(VLOOKUP(E21,'Dự thu chiết khấu'!$L$3:$V$226,11,0),0)</f>
        <v>0</v>
      </c>
      <c r="R21" s="12">
        <f>VLOOKUP($E21,'Dự thu chiết khấu'!$L$3:$W$226,12,0)</f>
        <v>12000000</v>
      </c>
      <c r="S21" s="12">
        <f t="shared" si="3"/>
        <v>629145454.5454545</v>
      </c>
      <c r="T21" s="11">
        <f t="shared" si="4"/>
        <v>-0.45454549789428711</v>
      </c>
      <c r="U21" s="15">
        <f>SUMIFS('DT-GV'!$N$6:$N$213,'DT-GV'!$H$6:$H$213,E21,'DT-GV'!$R$6:$R$213,"&lt;&gt;0")</f>
        <v>629145455</v>
      </c>
      <c r="V21" s="48">
        <f>SUMIFS('DT-GV'!$N$6:$N$213,'DT-GV'!$H$6:$H$213,E21,'DT-GV'!$R$6:$R$213,0)</f>
        <v>0</v>
      </c>
      <c r="W21" s="15">
        <f>-SUMIFS('DT-GV'!$R$6:$R$213,'DT-GV'!$H$6:$H$213,E21)</f>
        <v>-653672727</v>
      </c>
      <c r="X21" s="11">
        <f>IFERROR(VLOOKUP($E21,'Dự thu chiết khấu'!$L$3:$AK$226,26,0)/1.1,0)</f>
        <v>39220363.636363633</v>
      </c>
      <c r="Y21" s="11">
        <f>IFERROR(VLOOKUP($E21,'Dự thu chiết khấu'!$L$3:$BE$226,46,0)/1.1,0)</f>
        <v>6400545.4545454541</v>
      </c>
      <c r="Z21" s="11">
        <f>-SUMIF('Lương năng suất'!$R$4:$R$208,E21,'Lương năng suất'!$AQ$4:$AQ$208)</f>
        <v>-7200000</v>
      </c>
      <c r="AA21" s="213" t="str">
        <f>IFERROR(IF(ISNUMBER(SEARCH("TẶNG",VLOOKUP(E21,'Dự thu chiết khấu'!$L$3:$AV$226,37,0))),"TẶNG",""),"")</f>
        <v>TẶNG</v>
      </c>
      <c r="AB21" s="213" t="str">
        <f>IFERROR(IF(ISNUMBER(SEARCH("TẶNG",VLOOKUP(E21,'Dự thu chiết khấu'!$L$3:$AW$226,38,0))),"TẶNG",""),"")</f>
        <v/>
      </c>
      <c r="AC21" s="49">
        <f t="shared" si="5"/>
        <v>13893637.090909086</v>
      </c>
      <c r="AD21" s="11">
        <f>IFERROR(VLOOKUP(E21,'Dự thu chiết khấu'!$L$3:$AM$226,28,0),0)</f>
        <v>0</v>
      </c>
      <c r="AE21" s="11">
        <f>IFERROR(VLOOKUP(E21,'Dự thu chiết khấu'!$L$3:$AN$226,29,0),0)</f>
        <v>0</v>
      </c>
      <c r="AF21" s="11">
        <f>IFERROR(VLOOKUP(E21,'Dự thu chiết khấu'!$L$3:$AO$226,30,0),0)</f>
        <v>10000000</v>
      </c>
    </row>
    <row r="22" spans="1:32">
      <c r="A22">
        <v>16</v>
      </c>
      <c r="B22" t="str">
        <f>IFERROR(INDEX('Dự thu chiết khấu'!$E:$E,MATCH(E22,'Dự thu chiết khấu'!$L:$L,0)),"")</f>
        <v>Bùi Duy Luân</v>
      </c>
      <c r="C22" s="51" t="str">
        <f>IFERROR(INDEX('Dự thu chiết khấu'!$F:$F,MATCH(E22,'Dự thu chiết khấu'!$L:$L,0)),"")</f>
        <v>Phan Thị Ngọc Ánh</v>
      </c>
      <c r="D22" s="4" t="str">
        <f>IFERROR(INDEX('Dự thu chiết khấu'!$H:$H,MATCH(E22,'Dự thu chiết khấu'!$L:$L,0)),"")</f>
        <v>VF 3</v>
      </c>
      <c r="E22" s="4" t="str">
        <f>'Dự thu chiết khấu'!L19</f>
        <v>RLNVBL9K2TT711527</v>
      </c>
      <c r="F22" s="5" t="s">
        <v>138</v>
      </c>
      <c r="G22" s="5" t="str" cm="1">
        <f t="array" ref="G22">IFERROR(INDEX('DT-GV'!$X$6:$X$213,MATCH(1,('DT-GV'!$H$6:$H$213=E22)*('DT-GV'!$R$6:$R$213&lt;&gt;0),0)),IFERROR(VLOOKUP(E22,'DT-GV'!$H$6:$X$213,17,0),""))</f>
        <v>Q9KD</v>
      </c>
      <c r="H22" s="8" t="str">
        <f>VLOOKUP(E22,'Dự thu chiết khấu'!$L$3:$M$226,2,0)</f>
        <v>S11007</v>
      </c>
      <c r="I22">
        <v>1</v>
      </c>
      <c r="J22" s="11">
        <f>VLOOKUP(E22,'Dự thu chiết khấu'!$L$3:$P$226,5,0)</f>
        <v>315000000</v>
      </c>
      <c r="K22" s="12">
        <f t="shared" si="1"/>
        <v>18900000</v>
      </c>
      <c r="L22" s="12">
        <f t="shared" si="2"/>
        <v>0</v>
      </c>
      <c r="M22" s="13">
        <f>IFERROR(VLOOKUP(E22,'Dự thu chiết khấu'!$L$3:$R$226,7,0),0)</f>
        <v>0</v>
      </c>
      <c r="N22" s="14">
        <f>IFERROR(VLOOKUP(E22,'Dự thu chiết khấu'!$L$3:$S$226,8,0),0)</f>
        <v>0</v>
      </c>
      <c r="O22" s="11">
        <f>IF(IFERROR(VLOOKUP(E22,'Dự thu chiết khấu'!$L$3:$T$226,9,0),0)&gt;0,J22*$O$5,0)</f>
        <v>9450000</v>
      </c>
      <c r="P22" s="13">
        <f>IFERROR(VLOOKUP(E22,'Dự thu chiết khấu'!$L$3:$U$226,10,0),0)</f>
        <v>0</v>
      </c>
      <c r="Q22" s="12">
        <f>IFERROR(VLOOKUP(E22,'Dự thu chiết khấu'!$L$3:$V$226,11,0),0)</f>
        <v>0</v>
      </c>
      <c r="R22" s="12">
        <f>VLOOKUP($E22,'Dự thu chiết khấu'!$L$3:$W$226,12,0)</f>
        <v>0</v>
      </c>
      <c r="S22" s="12">
        <f t="shared" si="3"/>
        <v>260590909.09090906</v>
      </c>
      <c r="T22" s="11">
        <f t="shared" si="4"/>
        <v>9.0909063816070557E-2</v>
      </c>
      <c r="U22" s="15">
        <f>SUMIFS('DT-GV'!$N$6:$N$213,'DT-GV'!$H$6:$H$213,E22,'DT-GV'!$R$6:$R$213,"&lt;&gt;0")</f>
        <v>260590909</v>
      </c>
      <c r="V22" s="48">
        <f>SUMIFS('DT-GV'!$N$6:$N$213,'DT-GV'!$H$6:$H$213,E22,'DT-GV'!$R$6:$R$213,0)</f>
        <v>0</v>
      </c>
      <c r="W22" s="15">
        <f>-SUMIFS('DT-GV'!$R$6:$R$213,'DT-GV'!$H$6:$H$213,E22)</f>
        <v>-274909091</v>
      </c>
      <c r="X22" s="11">
        <f>IFERROR(VLOOKUP($E22,'Dự thu chiết khấu'!$L$3:$AK$226,26,0)/1.1,0)</f>
        <v>24741818.18181818</v>
      </c>
      <c r="Y22" s="11">
        <f>IFERROR(VLOOKUP($E22,'Dự thu chiết khấu'!$L$3:$BE$226,46,0)/1.1,0)</f>
        <v>2605909.0909090908</v>
      </c>
      <c r="Z22" s="11">
        <f>-SUMIF('Lương năng suất'!$R$4:$R$208,E22,'Lương năng suất'!$AQ$4:$AQ$208)</f>
        <v>-5100000</v>
      </c>
      <c r="AA22" s="213" t="str">
        <f>IFERROR(IF(ISNUMBER(SEARCH("TẶNG",VLOOKUP(E22,'Dự thu chiết khấu'!$L$3:$AV$226,37,0))),"TẶNG",""),"")</f>
        <v/>
      </c>
      <c r="AB22" s="213" t="str">
        <f>IFERROR(IF(ISNUMBER(SEARCH("TẶNG",VLOOKUP(E22,'Dự thu chiết khấu'!$L$3:$AW$226,38,0))),"TẶNG",""),"")</f>
        <v/>
      </c>
      <c r="AC22" s="49">
        <f t="shared" si="5"/>
        <v>7929545.2727272697</v>
      </c>
      <c r="AD22" s="11">
        <f>IFERROR(VLOOKUP(E22,'Dự thu chiết khấu'!$L$3:$AM$226,28,0),0)</f>
        <v>0</v>
      </c>
      <c r="AE22" s="11">
        <f>IFERROR(VLOOKUP(E22,'Dự thu chiết khấu'!$L$3:$AN$226,29,0),0)</f>
        <v>0</v>
      </c>
      <c r="AF22" s="11">
        <f>IFERROR(VLOOKUP(E22,'Dự thu chiết khấu'!$L$3:$AO$226,30,0),0)</f>
        <v>0</v>
      </c>
    </row>
    <row r="23" spans="1:32">
      <c r="A23" s="11">
        <v>17</v>
      </c>
      <c r="B23" t="str">
        <f>IFERROR(INDEX('Dự thu chiết khấu'!$E:$E,MATCH(E23,'Dự thu chiết khấu'!$L:$L,0)),"")</f>
        <v>Phạm Nguyễn Viết Khánh</v>
      </c>
      <c r="C23" s="51" t="str">
        <f>IFERROR(INDEX('Dự thu chiết khấu'!$F:$F,MATCH(E23,'Dự thu chiết khấu'!$L:$L,0)),"")</f>
        <v>Nguyễn Dương Nhật Trường</v>
      </c>
      <c r="D23" s="4" t="str">
        <f>IFERROR(INDEX('Dự thu chiết khấu'!$H:$H,MATCH(E23,'Dự thu chiết khấu'!$L:$L,0)),"")</f>
        <v>VF 6</v>
      </c>
      <c r="E23" s="4" t="str">
        <f>'Dự thu chiết khấu'!L20</f>
        <v>RLLVAG8C9TH736604</v>
      </c>
      <c r="F23" s="5" t="s">
        <v>138</v>
      </c>
      <c r="G23" s="5" t="str" cm="1">
        <f t="array" ref="G23">IFERROR(INDEX('DT-GV'!$X$6:$X$213,MATCH(1,('DT-GV'!$H$6:$H$213=E23)*('DT-GV'!$R$6:$R$213&lt;&gt;0),0)),IFERROR(VLOOKUP(E23,'DT-GV'!$H$6:$X$213,17,0),""))</f>
        <v>Q9KD</v>
      </c>
      <c r="H23" s="8" t="str">
        <f>VLOOKUP(E23,'Dự thu chiết khấu'!$L$3:$M$226,2,0)</f>
        <v>S11007</v>
      </c>
      <c r="I23">
        <v>1</v>
      </c>
      <c r="J23" s="11">
        <f>VLOOKUP(E23,'Dự thu chiết khấu'!$L$3:$P$226,5,0)</f>
        <v>745000000</v>
      </c>
      <c r="K23" s="12">
        <f t="shared" si="1"/>
        <v>0</v>
      </c>
      <c r="L23" s="12">
        <f t="shared" si="2"/>
        <v>0</v>
      </c>
      <c r="M23" s="13">
        <f>IFERROR(VLOOKUP(E23,'Dự thu chiết khấu'!$L$3:$R$226,7,0),0)</f>
        <v>7.0000000000000007E-2</v>
      </c>
      <c r="N23" s="14">
        <f>IFERROR(VLOOKUP(E23,'Dự thu chiết khấu'!$L$3:$S$226,8,0),0)</f>
        <v>0</v>
      </c>
      <c r="O23" s="11">
        <f>IF(IFERROR(VLOOKUP(E23,'Dự thu chiết khấu'!$L$3:$T$226,9,0),0)&gt;0,J23*$O$5,0)</f>
        <v>0</v>
      </c>
      <c r="P23" s="13">
        <f>IFERROR(VLOOKUP(E23,'Dự thu chiết khấu'!$L$3:$U$226,10,0),0)</f>
        <v>0</v>
      </c>
      <c r="Q23" s="12">
        <f>IFERROR(VLOOKUP(E23,'Dự thu chiết khấu'!$L$3:$V$226,11,0),0)</f>
        <v>0</v>
      </c>
      <c r="R23" s="12">
        <f>VLOOKUP($E23,'Dự thu chiết khấu'!$L$3:$W$226,12,0)</f>
        <v>10000000</v>
      </c>
      <c r="S23" s="12">
        <f t="shared" si="3"/>
        <v>668181818.18181813</v>
      </c>
      <c r="T23" s="11">
        <f t="shared" si="4"/>
        <v>0.18181812763214111</v>
      </c>
      <c r="U23" s="15">
        <f>SUMIFS('DT-GV'!$N$6:$N$213,'DT-GV'!$H$6:$H$213,E23,'DT-GV'!$R$6:$R$213,"&lt;&gt;0")</f>
        <v>668181818</v>
      </c>
      <c r="V23" s="48">
        <f>SUMIFS('DT-GV'!$N$6:$N$213,'DT-GV'!$H$6:$H$213,E23,'DT-GV'!$R$6:$R$213,0)</f>
        <v>0</v>
      </c>
      <c r="W23" s="15">
        <f>-SUMIFS('DT-GV'!$R$6:$R$213,'DT-GV'!$H$6:$H$213,E23)</f>
        <v>-650181818</v>
      </c>
      <c r="X23" s="11">
        <f>IFERROR(VLOOKUP($E23,'Dự thu chiết khấu'!$L$3:$AK$226,26,0)/1.1,0)</f>
        <v>0</v>
      </c>
      <c r="Y23" s="11">
        <f>IFERROR(VLOOKUP($E23,'Dự thu chiết khấu'!$L$3:$BE$226,46,0)/1.1,0)</f>
        <v>6772727.2727272725</v>
      </c>
      <c r="Z23" s="11">
        <f>-SUMIF('Lương năng suất'!$R$4:$R$208,E23,'Lương năng suất'!$AQ$4:$AQ$208)</f>
        <v>-6000000</v>
      </c>
      <c r="AA23" s="213" t="str">
        <f>IFERROR(IF(ISNUMBER(SEARCH("TẶNG",VLOOKUP(E23,'Dự thu chiết khấu'!$L$3:$AV$226,37,0))),"TẶNG",""),"")</f>
        <v/>
      </c>
      <c r="AB23" s="213" t="str">
        <f>IFERROR(IF(ISNUMBER(SEARCH("TẶNG",VLOOKUP(E23,'Dự thu chiết khấu'!$L$3:$AW$226,38,0))),"TẶNG",""),"")</f>
        <v/>
      </c>
      <c r="AC23" s="49">
        <f t="shared" si="5"/>
        <v>18772727.272727273</v>
      </c>
      <c r="AD23" s="11">
        <f>IFERROR(VLOOKUP(E23,'Dự thu chiết khấu'!$L$3:$AM$226,28,0),0)</f>
        <v>0</v>
      </c>
      <c r="AE23" s="11">
        <f>IFERROR(VLOOKUP(E23,'Dự thu chiết khấu'!$L$3:$AN$226,29,0),0)</f>
        <v>0</v>
      </c>
      <c r="AF23" s="11">
        <f>IFERROR(VLOOKUP(E23,'Dự thu chiết khấu'!$L$3:$AO$226,30,0),0)</f>
        <v>0</v>
      </c>
    </row>
    <row r="24" spans="1:32">
      <c r="A24">
        <v>18</v>
      </c>
      <c r="B24" t="str">
        <f>IFERROR(INDEX('Dự thu chiết khấu'!$E:$E,MATCH(E24,'Dự thu chiết khấu'!$L:$L,0)),"")</f>
        <v>Bùi Duy Luân</v>
      </c>
      <c r="C24" s="51" t="str">
        <f>IFERROR(INDEX('Dự thu chiết khấu'!$F:$F,MATCH(E24,'Dự thu chiết khấu'!$L:$L,0)),"")</f>
        <v>Lý Thanh Hoàng</v>
      </c>
      <c r="D24" s="4" t="str">
        <f>IFERROR(INDEX('Dự thu chiết khấu'!$H:$H,MATCH(E24,'Dự thu chiết khấu'!$L:$L,0)),"")</f>
        <v>LIMO GREEN</v>
      </c>
      <c r="E24" s="4" t="str">
        <f>'Dự thu chiết khấu'!L21</f>
        <v>RLLVFPNT3TH707749</v>
      </c>
      <c r="F24" s="5" t="s">
        <v>138</v>
      </c>
      <c r="G24" s="5" t="str" cm="1">
        <f t="array" ref="G24">IFERROR(INDEX('DT-GV'!$X$6:$X$213,MATCH(1,('DT-GV'!$H$6:$H$213=E24)*('DT-GV'!$R$6:$R$213&lt;&gt;0),0)),IFERROR(VLOOKUP(E24,'DT-GV'!$H$6:$X$213,17,0),""))</f>
        <v>Q9KD</v>
      </c>
      <c r="H24" s="6" t="str">
        <f>VLOOKUP(E24,'Dự thu chiết khấu'!$L$3:$M$226,2,0)</f>
        <v>S11007</v>
      </c>
      <c r="I24">
        <v>1</v>
      </c>
      <c r="J24" s="11">
        <f>VLOOKUP(E24,'Dự thu chiết khấu'!$L$3:$P$226,5,0)</f>
        <v>749000000</v>
      </c>
      <c r="K24" s="12">
        <f t="shared" si="1"/>
        <v>44940000</v>
      </c>
      <c r="L24" s="12">
        <f t="shared" si="2"/>
        <v>0</v>
      </c>
      <c r="M24" s="13">
        <f>IFERROR(VLOOKUP(E24,'Dự thu chiết khấu'!$L$3:$R$226,7,0),0)</f>
        <v>0</v>
      </c>
      <c r="N24" s="14">
        <f>IFERROR(VLOOKUP(E24,'Dự thu chiết khấu'!$L$3:$S$226,8,0),0)</f>
        <v>0</v>
      </c>
      <c r="O24" s="11">
        <f>IF(IFERROR(VLOOKUP(E24,'Dự thu chiết khấu'!$L$3:$T$226,9,0),0)&gt;0,J24*$O$5,0)</f>
        <v>22470000</v>
      </c>
      <c r="P24" s="13">
        <f>IFERROR(VLOOKUP(E24,'Dự thu chiết khấu'!$L$3:$U$226,10,0),0)</f>
        <v>0</v>
      </c>
      <c r="Q24" s="12">
        <f>IFERROR(VLOOKUP(E24,'Dự thu chiết khấu'!$L$3:$V$226,11,0),0)</f>
        <v>0</v>
      </c>
      <c r="R24" s="12">
        <f>VLOOKUP($E24,'Dự thu chiết khấu'!$L$3:$W$226,12,0)</f>
        <v>2000000</v>
      </c>
      <c r="S24" s="12">
        <f t="shared" si="3"/>
        <v>617809090.90909088</v>
      </c>
      <c r="T24" s="11">
        <f t="shared" si="4"/>
        <v>-9.0909123420715332E-2</v>
      </c>
      <c r="U24" s="15">
        <f>SUMIFS('DT-GV'!$N$6:$N$213,'DT-GV'!$H$6:$H$213,E24,'DT-GV'!$R$6:$R$213,"&lt;&gt;0")</f>
        <v>617809091</v>
      </c>
      <c r="V24" s="48">
        <f>SUMIFS('DT-GV'!$N$6:$N$213,'DT-GV'!$H$6:$H$213,E24,'DT-GV'!$R$6:$R$213,0)</f>
        <v>0</v>
      </c>
      <c r="W24" s="15">
        <f>-SUMIFS('DT-GV'!$R$6:$R$213,'DT-GV'!$H$6:$H$213,E24)</f>
        <v>-653672727</v>
      </c>
      <c r="X24" s="11">
        <f>IFERROR(VLOOKUP($E24,'Dự thu chiết khấu'!$L$3:$AK$226,26,0)/1.1,0)</f>
        <v>58830545.454545453</v>
      </c>
      <c r="Y24" s="11">
        <f>IFERROR(VLOOKUP($E24,'Dự thu chiết khấu'!$L$3:$BE$226,46,0)/1.1,0)</f>
        <v>6196272.7272727266</v>
      </c>
      <c r="Z24" s="11">
        <f>-SUMIF('Lương năng suất'!$R$4:$R$208,E24,'Lương năng suất'!$AQ$4:$AQ$208)</f>
        <v>-16600000</v>
      </c>
      <c r="AA24" s="213" t="str">
        <f>IFERROR(IF(ISNUMBER(SEARCH("TẶNG",VLOOKUP(E24,'Dự thu chiết khấu'!$L$3:$AV$226,37,0))),"TẶNG",""),"")</f>
        <v/>
      </c>
      <c r="AB24" s="213" t="str">
        <f>IFERROR(IF(ISNUMBER(SEARCH("TẶNG",VLOOKUP(E24,'Dự thu chiết khấu'!$L$3:$AW$226,38,0))),"TẶNG",""),"")</f>
        <v/>
      </c>
      <c r="AC24" s="49">
        <f t="shared" si="5"/>
        <v>12563182.18181818</v>
      </c>
      <c r="AD24" s="11">
        <f>IFERROR(VLOOKUP(E24,'Dự thu chiết khấu'!$L$3:$AM$226,28,0),0)</f>
        <v>0</v>
      </c>
      <c r="AE24" s="11">
        <f>IFERROR(VLOOKUP(E24,'Dự thu chiết khấu'!$L$3:$AN$226,29,0),0)</f>
        <v>0</v>
      </c>
      <c r="AF24" s="11">
        <f>IFERROR(VLOOKUP(E24,'Dự thu chiết khấu'!$L$3:$AO$226,30,0),0)</f>
        <v>0</v>
      </c>
    </row>
    <row r="25" spans="1:32">
      <c r="A25" s="11">
        <v>19</v>
      </c>
      <c r="B25" t="str">
        <f>IFERROR(INDEX('Dự thu chiết khấu'!$E:$E,MATCH(E25,'Dự thu chiết khấu'!$L:$L,0)),"")</f>
        <v>Vũ Đức Danh</v>
      </c>
      <c r="C25" s="51" t="str">
        <f>IFERROR(INDEX('Dự thu chiết khấu'!$F:$F,MATCH(E25,'Dự thu chiết khấu'!$L:$L,0)),"")</f>
        <v>Ngô Tiến Hoàng</v>
      </c>
      <c r="D25" s="4" t="str">
        <f>IFERROR(INDEX('Dự thu chiết khấu'!$H:$H,MATCH(E25,'Dự thu chiết khấu'!$L:$L,0)),"")</f>
        <v>VF 3</v>
      </c>
      <c r="E25" s="4" t="str">
        <f>'Dự thu chiết khấu'!L22</f>
        <v>RLNVBL9K1ST717561</v>
      </c>
      <c r="F25" s="5" t="s">
        <v>138</v>
      </c>
      <c r="G25" s="5" t="str" cm="1">
        <f t="array" ref="G25">IFERROR(INDEX('DT-GV'!$X$6:$X$213,MATCH(1,('DT-GV'!$H$6:$H$213=E25)*('DT-GV'!$R$6:$R$213&lt;&gt;0),0)),IFERROR(VLOOKUP(E25,'DT-GV'!$H$6:$X$213,17,0),""))</f>
        <v>Q9KD</v>
      </c>
      <c r="H25" s="6" t="str">
        <f>VLOOKUP(E25,'Dự thu chiết khấu'!$L$3:$M$226,2,0)</f>
        <v>S11007</v>
      </c>
      <c r="I25">
        <v>1</v>
      </c>
      <c r="J25" s="11">
        <f>VLOOKUP(E25,'Dự thu chiết khấu'!$L$3:$P$226,5,0)</f>
        <v>310000000</v>
      </c>
      <c r="K25" s="12">
        <f t="shared" si="1"/>
        <v>18600000</v>
      </c>
      <c r="L25" s="12">
        <f t="shared" si="2"/>
        <v>0</v>
      </c>
      <c r="M25" s="13">
        <f>IFERROR(VLOOKUP(E25,'Dự thu chiết khấu'!$L$3:$R$226,7,0),0)</f>
        <v>0</v>
      </c>
      <c r="N25" s="14">
        <f>IFERROR(VLOOKUP(E25,'Dự thu chiết khấu'!$L$3:$S$226,8,0),0)</f>
        <v>0</v>
      </c>
      <c r="O25" s="11">
        <f>IF(IFERROR(VLOOKUP(E25,'Dự thu chiết khấu'!$L$3:$T$226,9,0),0)&gt;0,J25*$O$5,0)</f>
        <v>0</v>
      </c>
      <c r="P25" s="13">
        <f>IFERROR(VLOOKUP(E25,'Dự thu chiết khấu'!$L$3:$U$226,10,0),0)</f>
        <v>0</v>
      </c>
      <c r="Q25" s="12">
        <f>IFERROR(VLOOKUP(E25,'Dự thu chiết khấu'!$L$3:$V$226,11,0),0)</f>
        <v>18000000</v>
      </c>
      <c r="R25" s="12">
        <f>VLOOKUP($E25,'Dự thu chiết khấu'!$L$3:$W$226,12,0)</f>
        <v>4000000</v>
      </c>
      <c r="S25" s="12">
        <f t="shared" si="3"/>
        <v>244909090.90909088</v>
      </c>
      <c r="T25" s="11">
        <f t="shared" si="4"/>
        <v>-9.0909123420715332E-2</v>
      </c>
      <c r="U25" s="15">
        <f>SUMIFS('DT-GV'!$N$6:$N$213,'DT-GV'!$H$6:$H$213,E25,'DT-GV'!$R$6:$R$213,"&lt;&gt;0")</f>
        <v>244909091</v>
      </c>
      <c r="V25" s="48">
        <f>SUMIFS('DT-GV'!$N$6:$N$213,'DT-GV'!$H$6:$H$213,E25,'DT-GV'!$R$6:$R$213,0)</f>
        <v>0</v>
      </c>
      <c r="W25" s="15">
        <f>-SUMIFS('DT-GV'!$R$6:$R$213,'DT-GV'!$H$6:$H$213,E25)</f>
        <v>-270545455</v>
      </c>
      <c r="X25" s="11">
        <f>IFERROR(VLOOKUP($E25,'Dự thu chiết khấu'!$L$3:$AK$226,26,0)/1.1,0)</f>
        <v>31941818.18181818</v>
      </c>
      <c r="Y25" s="11">
        <f>IFERROR(VLOOKUP($E25,'Dự thu chiết khấu'!$L$3:$BE$226,46,0)/1.1,0)</f>
        <v>2485454.5454545454</v>
      </c>
      <c r="Z25" s="11">
        <f>-SUMIF('Lương năng suất'!$R$4:$R$208,E25,'Lương năng suất'!$AQ$4:$AQ$208)</f>
        <v>-3200000</v>
      </c>
      <c r="AA25" s="213" t="str">
        <f>IFERROR(IF(ISNUMBER(SEARCH("TẶNG",VLOOKUP(E25,'Dự thu chiết khấu'!$L$3:$AV$226,37,0))),"TẶNG",""),"")</f>
        <v/>
      </c>
      <c r="AB25" s="213" t="str">
        <f>IFERROR(IF(ISNUMBER(SEARCH("TẶNG",VLOOKUP(E25,'Dự thu chiết khấu'!$L$3:$AW$226,38,0))),"TẶNG",""),"")</f>
        <v/>
      </c>
      <c r="AC25" s="49">
        <f t="shared" si="5"/>
        <v>5590908.7272727247</v>
      </c>
      <c r="AD25" s="11">
        <f>IFERROR(VLOOKUP(E25,'Dự thu chiết khấu'!$L$3:$AM$226,28,0),0)</f>
        <v>0</v>
      </c>
      <c r="AE25" s="11">
        <f>IFERROR(VLOOKUP(E25,'Dự thu chiết khấu'!$L$3:$AN$226,29,0),0)</f>
        <v>0</v>
      </c>
      <c r="AF25" s="11">
        <f>IFERROR(VLOOKUP(E25,'Dự thu chiết khấu'!$L$3:$AO$226,30,0),0)</f>
        <v>0</v>
      </c>
    </row>
    <row r="26" spans="1:32">
      <c r="A26">
        <v>20</v>
      </c>
      <c r="B26" t="str">
        <f>IFERROR(INDEX('Dự thu chiết khấu'!$E:$E,MATCH(E26,'Dự thu chiết khấu'!$L:$L,0)),"")</f>
        <v>Vũ Thị Thanh Tuyền</v>
      </c>
      <c r="C26" s="51" t="str">
        <f>IFERROR(INDEX('Dự thu chiết khấu'!$F:$F,MATCH(E26,'Dự thu chiết khấu'!$L:$L,0)),"")</f>
        <v>Nguyễn Thanh Long</v>
      </c>
      <c r="D26" s="4" t="str">
        <f>IFERROR(INDEX('Dự thu chiết khấu'!$H:$H,MATCH(E26,'Dự thu chiết khấu'!$L:$L,0)),"")</f>
        <v>VF 3</v>
      </c>
      <c r="E26" s="4" t="str">
        <f>'Dự thu chiết khấu'!L23</f>
        <v>RLNVBL9K9TT711878</v>
      </c>
      <c r="F26" s="5" t="s">
        <v>138</v>
      </c>
      <c r="G26" s="5" t="str" cm="1">
        <f t="array" ref="G26">IFERROR(INDEX('DT-GV'!$X$6:$X$213,MATCH(1,('DT-GV'!$H$6:$H$213=E26)*('DT-GV'!$R$6:$R$213&lt;&gt;0),0)),IFERROR(VLOOKUP(E26,'DT-GV'!$H$6:$X$213,17,0),""))</f>
        <v>Q9KD</v>
      </c>
      <c r="H26" s="8" t="str">
        <f>VLOOKUP(E26,'Dự thu chiết khấu'!$L$3:$M$226,2,0)</f>
        <v>S11007</v>
      </c>
      <c r="I26">
        <v>1</v>
      </c>
      <c r="J26" s="11">
        <f>VLOOKUP(E26,'Dự thu chiết khấu'!$L$3:$P$226,5,0)</f>
        <v>315000000</v>
      </c>
      <c r="K26" s="12">
        <f t="shared" si="1"/>
        <v>18900000</v>
      </c>
      <c r="L26" s="12">
        <f t="shared" si="2"/>
        <v>0</v>
      </c>
      <c r="M26" s="13">
        <f>IFERROR(VLOOKUP(E26,'Dự thu chiết khấu'!$L$3:$R$226,7,0),0)</f>
        <v>0</v>
      </c>
      <c r="N26" s="14">
        <f>IFERROR(VLOOKUP(E26,'Dự thu chiết khấu'!$L$3:$S$226,8,0),0)</f>
        <v>0</v>
      </c>
      <c r="O26" s="11">
        <f>IF(IFERROR(VLOOKUP(E26,'Dự thu chiết khấu'!$L$3:$T$226,9,0),0)&gt;0,J26*$O$5,0)</f>
        <v>9450000</v>
      </c>
      <c r="P26" s="13">
        <f>IFERROR(VLOOKUP(E26,'Dự thu chiết khấu'!$L$3:$U$226,10,0),0)</f>
        <v>0</v>
      </c>
      <c r="Q26" s="12">
        <f>IFERROR(VLOOKUP(E26,'Dự thu chiết khấu'!$L$3:$V$226,11,0),0)</f>
        <v>0</v>
      </c>
      <c r="R26" s="12">
        <f>VLOOKUP($E26,'Dự thu chiết khấu'!$L$3:$W$226,12,0)</f>
        <v>1000000</v>
      </c>
      <c r="S26" s="12">
        <f t="shared" si="3"/>
        <v>259681818.18181816</v>
      </c>
      <c r="T26" s="11">
        <f t="shared" si="4"/>
        <v>0.1818181574344635</v>
      </c>
      <c r="U26" s="15">
        <f>SUMIFS('DT-GV'!$N$6:$N$213,'DT-GV'!$H$6:$H$213,E26,'DT-GV'!$R$6:$R$213,"&lt;&gt;0")</f>
        <v>259681818</v>
      </c>
      <c r="V26" s="48">
        <f>SUMIFS('DT-GV'!$N$6:$N$213,'DT-GV'!$H$6:$H$213,E26,'DT-GV'!$R$6:$R$213,0)</f>
        <v>0</v>
      </c>
      <c r="W26" s="15">
        <f>-SUMIFS('DT-GV'!$R$6:$R$213,'DT-GV'!$H$6:$H$213,E26)</f>
        <v>-274909091</v>
      </c>
      <c r="X26" s="11">
        <f>IFERROR(VLOOKUP($E26,'Dự thu chiết khấu'!$L$3:$AK$226,26,0)/1.1,0)</f>
        <v>24741818.18181818</v>
      </c>
      <c r="Y26" s="11">
        <f>IFERROR(VLOOKUP($E26,'Dự thu chiết khấu'!$L$3:$BE$226,46,0)/1.1,0)</f>
        <v>2605909.0909090908</v>
      </c>
      <c r="Z26" s="11">
        <f>-SUMIF('Lương năng suất'!$R$4:$R$208,E26,'Lương năng suất'!$AQ$4:$AQ$208)</f>
        <v>-4500000</v>
      </c>
      <c r="AA26" s="213" t="str">
        <f>IFERROR(IF(ISNUMBER(SEARCH("TẶNG",VLOOKUP(E26,'Dự thu chiết khấu'!$L$3:$AV$226,37,0))),"TẶNG",""),"")</f>
        <v/>
      </c>
      <c r="AB26" s="213" t="str">
        <f>IFERROR(IF(ISNUMBER(SEARCH("TẶNG",VLOOKUP(E26,'Dự thu chiết khấu'!$L$3:$AW$226,38,0))),"TẶNG",""),"")</f>
        <v/>
      </c>
      <c r="AC26" s="49">
        <f t="shared" si="5"/>
        <v>7620454.2727272697</v>
      </c>
      <c r="AD26" s="11">
        <f>IFERROR(VLOOKUP(E26,'Dự thu chiết khấu'!$L$3:$AM$226,28,0),0)</f>
        <v>0</v>
      </c>
      <c r="AE26" s="11">
        <f>IFERROR(VLOOKUP(E26,'Dự thu chiết khấu'!$L$3:$AN$226,29,0),0)</f>
        <v>0</v>
      </c>
      <c r="AF26" s="11">
        <f>IFERROR(VLOOKUP(E26,'Dự thu chiết khấu'!$L$3:$AO$226,30,0),0)</f>
        <v>0</v>
      </c>
    </row>
    <row r="27" spans="1:32">
      <c r="A27" s="11">
        <v>21</v>
      </c>
      <c r="B27" t="str">
        <f>IFERROR(INDEX('Dự thu chiết khấu'!$E:$E,MATCH(E27,'Dự thu chiết khấu'!$L:$L,0)),"")</f>
        <v>Vũ Đức Danh</v>
      </c>
      <c r="C27" s="51" t="str">
        <f>IFERROR(INDEX('Dự thu chiết khấu'!$F:$F,MATCH(E27,'Dự thu chiết khấu'!$L:$L,0)),"")</f>
        <v>Vũ Anh Quang</v>
      </c>
      <c r="D27" s="4" t="str">
        <f>IFERROR(INDEX('Dự thu chiết khấu'!$H:$H,MATCH(E27,'Dự thu chiết khấu'!$L:$L,0)),"")</f>
        <v>VF 7</v>
      </c>
      <c r="E27" s="4" t="str">
        <f>'Dự thu chiết khấu'!L24</f>
        <v>RLLV3F5D6TH714321</v>
      </c>
      <c r="F27" s="5" t="s">
        <v>138</v>
      </c>
      <c r="G27" s="5" t="str" cm="1">
        <f t="array" ref="G27">IFERROR(INDEX('DT-GV'!$X$6:$X$213,MATCH(1,('DT-GV'!$H$6:$H$213=E27)*('DT-GV'!$R$6:$R$213&lt;&gt;0),0)),IFERROR(VLOOKUP(E27,'DT-GV'!$H$6:$X$213,17,0),""))</f>
        <v>Q9KD</v>
      </c>
      <c r="H27" s="6" t="str">
        <f>VLOOKUP(E27,'Dự thu chiết khấu'!$L$3:$M$226,2,0)</f>
        <v>S11007</v>
      </c>
      <c r="I27">
        <v>1</v>
      </c>
      <c r="J27" s="11">
        <f>VLOOKUP(E27,'Dự thu chiết khấu'!$L$3:$P$226,5,0)</f>
        <v>811000000</v>
      </c>
      <c r="K27" s="12">
        <f t="shared" si="1"/>
        <v>48660000</v>
      </c>
      <c r="L27" s="12">
        <f t="shared" si="2"/>
        <v>0</v>
      </c>
      <c r="M27" s="13">
        <f>IFERROR(VLOOKUP(E27,'Dự thu chiết khấu'!$L$3:$R$226,7,0),0)</f>
        <v>0</v>
      </c>
      <c r="N27" s="14">
        <f>IFERROR(VLOOKUP(E27,'Dự thu chiết khấu'!$L$3:$S$226,8,0),0)</f>
        <v>0</v>
      </c>
      <c r="O27" s="11">
        <f>IF(IFERROR(VLOOKUP(E27,'Dự thu chiết khấu'!$L$3:$T$226,9,0),0)&gt;0,J27*$O$5,0)</f>
        <v>0</v>
      </c>
      <c r="P27" s="13">
        <f>IFERROR(VLOOKUP(E27,'Dự thu chiết khấu'!$L$3:$U$226,10,0),0)</f>
        <v>0</v>
      </c>
      <c r="Q27" s="12">
        <f>IFERROR(VLOOKUP(E27,'Dự thu chiết khấu'!$L$3:$V$226,11,0),0)</f>
        <v>0</v>
      </c>
      <c r="R27" s="12">
        <f>VLOOKUP($E27,'Dự thu chiết khấu'!$L$3:$W$226,12,0)</f>
        <v>15000000</v>
      </c>
      <c r="S27" s="12">
        <f t="shared" si="3"/>
        <v>679400000</v>
      </c>
      <c r="T27" s="11">
        <f t="shared" si="4"/>
        <v>0</v>
      </c>
      <c r="U27" s="15">
        <f>SUMIFS('DT-GV'!$N$6:$N$213,'DT-GV'!$H$6:$H$213,E27,'DT-GV'!$R$6:$R$213,"&lt;&gt;0")</f>
        <v>679400000</v>
      </c>
      <c r="V27" s="48">
        <f>SUMIFS('DT-GV'!$N$6:$N$213,'DT-GV'!$H$6:$H$213,E27,'DT-GV'!$R$6:$R$213,0)</f>
        <v>0</v>
      </c>
      <c r="W27" s="15">
        <f>-SUMIFS('DT-GV'!$R$6:$R$213,'DT-GV'!$H$6:$H$213,E27)</f>
        <v>-704095455</v>
      </c>
      <c r="X27" s="11">
        <f>IFERROR(VLOOKUP($E27,'Dự thu chiết khấu'!$L$3:$AK$226,26,0)/1.1,0)</f>
        <v>42245727.272727266</v>
      </c>
      <c r="Y27" s="11">
        <f>IFERROR(VLOOKUP($E27,'Dự thu chiết khấu'!$L$3:$BE$226,46,0)/1.1,0)</f>
        <v>6930363.6363636358</v>
      </c>
      <c r="Z27" s="11">
        <f>-SUMIF('Lương năng suất'!$R$4:$R$208,E27,'Lương năng suất'!$AQ$4:$AQ$208)</f>
        <v>-10400000</v>
      </c>
      <c r="AA27" s="213" t="str">
        <f>IFERROR(IF(ISNUMBER(SEARCH("TẶNG",VLOOKUP(E27,'Dự thu chiết khấu'!$L$3:$AV$226,37,0))),"TẶNG",""),"")</f>
        <v/>
      </c>
      <c r="AB27" s="213" t="str">
        <f>IFERROR(IF(ISNUMBER(SEARCH("TẶNG",VLOOKUP(E27,'Dự thu chiết khấu'!$L$3:$AW$226,38,0))),"TẶNG",""),"")</f>
        <v/>
      </c>
      <c r="AC27" s="49">
        <f t="shared" si="5"/>
        <v>14080635.909090903</v>
      </c>
      <c r="AD27" s="11">
        <f>IFERROR(VLOOKUP(E27,'Dự thu chiết khấu'!$L$3:$AM$226,28,0),0)</f>
        <v>0</v>
      </c>
      <c r="AE27" s="11">
        <f>IFERROR(VLOOKUP(E27,'Dự thu chiết khấu'!$L$3:$AN$226,29,0),0)</f>
        <v>0</v>
      </c>
      <c r="AF27" s="11">
        <f>IFERROR(VLOOKUP(E27,'Dự thu chiết khấu'!$L$3:$AO$226,30,0),0)</f>
        <v>0</v>
      </c>
    </row>
    <row r="28" spans="1:32">
      <c r="A28">
        <v>22</v>
      </c>
      <c r="B28" t="str">
        <f>IFERROR(INDEX('Dự thu chiết khấu'!$E:$E,MATCH(E28,'Dự thu chiết khấu'!$L:$L,0)),"")</f>
        <v>ĐOÀN VĂN CƯƠNG</v>
      </c>
      <c r="C28" s="51" t="str">
        <f>IFERROR(INDEX('Dự thu chiết khấu'!$F:$F,MATCH(E28,'Dự thu chiết khấu'!$L:$L,0)),"")</f>
        <v>HOÀNG CẨM THƠ</v>
      </c>
      <c r="D28" s="4" t="str">
        <f>IFERROR(INDEX('Dự thu chiết khấu'!$H:$H,MATCH(E28,'Dự thu chiết khấu'!$L:$L,0)),"")</f>
        <v>MPV 7</v>
      </c>
      <c r="E28" s="4" t="str">
        <f>'Dự thu chiết khấu'!L25</f>
        <v>RLLVFPTT1TH722897</v>
      </c>
      <c r="F28" s="5" t="s">
        <v>104</v>
      </c>
      <c r="G28" s="5" t="str" cm="1">
        <f t="array" ref="G28">IFERROR(INDEX('DT-GV'!$X$6:$X$213,MATCH(1,('DT-GV'!$H$6:$H$213=E28)*('DT-GV'!$R$6:$R$213&lt;&gt;0),0)),IFERROR(VLOOKUP(E28,'DT-GV'!$H$6:$X$213,17,0),""))</f>
        <v>SLKD</v>
      </c>
      <c r="H28" s="8" t="str">
        <f>VLOOKUP(E28,'Dự thu chiết khấu'!$L$3:$M$226,2,0)</f>
        <v>S11001</v>
      </c>
      <c r="I28">
        <v>1</v>
      </c>
      <c r="J28" s="11">
        <f>VLOOKUP(E28,'Dự thu chiết khấu'!$L$3:$P$226,5,0)</f>
        <v>819000000</v>
      </c>
      <c r="K28" s="12">
        <f t="shared" si="1"/>
        <v>0</v>
      </c>
      <c r="L28" s="12">
        <f t="shared" si="2"/>
        <v>0</v>
      </c>
      <c r="M28" s="13">
        <f>IFERROR(VLOOKUP(E28,'Dự thu chiết khấu'!$L$3:$R$226,7,0),0)</f>
        <v>7.0000000000000007E-2</v>
      </c>
      <c r="N28" s="14">
        <f>IFERROR(VLOOKUP(E28,'Dự thu chiết khấu'!$L$3:$S$226,8,0),0)</f>
        <v>0</v>
      </c>
      <c r="O28" s="11">
        <f>IF(IFERROR(VLOOKUP(E28,'Dự thu chiết khấu'!$L$3:$T$226,9,0),0)&gt;0,J28*$O$5,0)</f>
        <v>0</v>
      </c>
      <c r="P28" s="13">
        <f>IFERROR(VLOOKUP(E28,'Dự thu chiết khấu'!$L$3:$U$226,10,0),0)</f>
        <v>0</v>
      </c>
      <c r="Q28" s="12">
        <f>IFERROR(VLOOKUP(E28,'Dự thu chiết khấu'!$L$3:$V$226,11,0),0)</f>
        <v>0</v>
      </c>
      <c r="R28" s="12">
        <f>VLOOKUP($E28,'Dự thu chiết khấu'!$L$3:$W$226,12,0)</f>
        <v>0</v>
      </c>
      <c r="S28" s="12">
        <f t="shared" si="3"/>
        <v>744545454.5454545</v>
      </c>
      <c r="T28" s="11">
        <f t="shared" si="4"/>
        <v>-0.45454549789428711</v>
      </c>
      <c r="U28" s="15">
        <f>SUMIFS('DT-GV'!$N$6:$N$213,'DT-GV'!$H$6:$H$213,E28,'DT-GV'!$R$6:$R$213,"&lt;&gt;0")</f>
        <v>744545455</v>
      </c>
      <c r="V28" s="48">
        <f>SUMIFS('DT-GV'!$N$6:$N$213,'DT-GV'!$H$6:$H$213,E28,'DT-GV'!$R$6:$R$213,0)</f>
        <v>0</v>
      </c>
      <c r="W28" s="15">
        <f>-SUMIFS('DT-GV'!$R$6:$R$213,'DT-GV'!$H$6:$H$213,E28)</f>
        <v>-714763636</v>
      </c>
      <c r="X28" s="11">
        <f>IFERROR(VLOOKUP($E28,'Dự thu chiết khấu'!$L$3:$AK$226,26,0)/1.1,0)</f>
        <v>0</v>
      </c>
      <c r="Y28" s="11">
        <f>IFERROR(VLOOKUP($E28,'Dự thu chiết khấu'!$L$3:$BE$226,46,0)/1.1,0)</f>
        <v>0</v>
      </c>
      <c r="Z28" s="11">
        <f>-SUMIF('Lương năng suất'!$R$4:$R$208,E28,'Lương năng suất'!$AQ$4:$AQ$208)</f>
        <v>-16000000</v>
      </c>
      <c r="AA28" s="213" t="str">
        <f>IFERROR(IF(ISNUMBER(SEARCH("TẶNG",VLOOKUP(E28,'Dự thu chiết khấu'!$L$3:$AV$226,37,0))),"TẶNG",""),"")</f>
        <v/>
      </c>
      <c r="AB28" s="213" t="str">
        <f>IFERROR(IF(ISNUMBER(SEARCH("TẶNG",VLOOKUP(E28,'Dự thu chiết khấu'!$L$3:$AW$226,38,0))),"TẶNG",""),"")</f>
        <v/>
      </c>
      <c r="AC28" s="49">
        <f t="shared" si="5"/>
        <v>13781819</v>
      </c>
      <c r="AD28" s="11">
        <f>IFERROR(VLOOKUP(E28,'Dự thu chiết khấu'!$L$3:$AM$226,28,0),0)</f>
        <v>0</v>
      </c>
      <c r="AE28" s="11">
        <f>IFERROR(VLOOKUP(E28,'Dự thu chiết khấu'!$L$3:$AN$226,29,0),0)</f>
        <v>15000000</v>
      </c>
      <c r="AF28" s="11">
        <f>IFERROR(VLOOKUP(E28,'Dự thu chiết khấu'!$L$3:$AO$226,30,0),0)</f>
        <v>0</v>
      </c>
    </row>
    <row r="29" spans="1:32">
      <c r="A29" s="11">
        <v>23</v>
      </c>
      <c r="B29" t="str">
        <f>IFERROR(INDEX('Dự thu chiết khấu'!$E:$E,MATCH(E29,'Dự thu chiết khấu'!$L:$L,0)),"")</f>
        <v>Trần Anh Vũ</v>
      </c>
      <c r="C29" s="51" t="str">
        <f>IFERROR(INDEX('Dự thu chiết khấu'!$F:$F,MATCH(E29,'Dự thu chiết khấu'!$L:$L,0)),"")</f>
        <v>NGUYỄN HỮU ANH TIẾN</v>
      </c>
      <c r="D29" s="4" t="str">
        <f>IFERROR(INDEX('Dự thu chiết khấu'!$H:$H,MATCH(E29,'Dự thu chiết khấu'!$L:$L,0)),"")</f>
        <v>VF 3</v>
      </c>
      <c r="E29" s="4" t="str">
        <f>'Dự thu chiết khấu'!L26</f>
        <v>RLNVBL9K9ST706159</v>
      </c>
      <c r="F29" s="5" t="s">
        <v>112</v>
      </c>
      <c r="G29" s="5" t="str" cm="1">
        <f t="array" ref="G29">IFERROR(INDEX('DT-GV'!$X$6:$X$213,MATCH(1,('DT-GV'!$H$6:$H$213=E29)*('DT-GV'!$R$6:$R$213&lt;&gt;0),0)),IFERROR(VLOOKUP(E29,'DT-GV'!$H$6:$X$213,17,0),""))</f>
        <v>BLKD</v>
      </c>
      <c r="H29" s="7" t="str">
        <f>VLOOKUP(E29,'Dự thu chiết khấu'!$L$3:$M$226,2,0)</f>
        <v>S11006</v>
      </c>
      <c r="I29">
        <v>1</v>
      </c>
      <c r="J29" s="11">
        <f>VLOOKUP(E29,'Dự thu chiết khấu'!$L$3:$P$226,5,0)</f>
        <v>299000000</v>
      </c>
      <c r="K29" s="12">
        <f t="shared" si="1"/>
        <v>17940000</v>
      </c>
      <c r="L29" s="12">
        <f t="shared" si="2"/>
        <v>0</v>
      </c>
      <c r="M29" s="13">
        <f>IFERROR(VLOOKUP(E29,'Dự thu chiết khấu'!$L$3:$R$226,7,0),0)</f>
        <v>0</v>
      </c>
      <c r="N29" s="14">
        <f>IFERROR(VLOOKUP(E29,'Dự thu chiết khấu'!$L$3:$S$226,8,0),0)</f>
        <v>0</v>
      </c>
      <c r="O29" s="11">
        <f>IF(IFERROR(VLOOKUP(E29,'Dự thu chiết khấu'!$L$3:$T$226,9,0),0)&gt;0,J29*$O$5,0)</f>
        <v>0</v>
      </c>
      <c r="P29" s="13">
        <f>IFERROR(VLOOKUP(E29,'Dự thu chiết khấu'!$L$3:$U$226,10,0),0)</f>
        <v>0</v>
      </c>
      <c r="Q29" s="12">
        <f>IFERROR(VLOOKUP(E29,'Dự thu chiết khấu'!$L$3:$V$226,11,0),0)</f>
        <v>13000000</v>
      </c>
      <c r="R29" s="12">
        <f>VLOOKUP($E29,'Dự thu chiết khấu'!$L$3:$W$226,12,0)</f>
        <v>0</v>
      </c>
      <c r="S29" s="12">
        <f t="shared" si="3"/>
        <v>243690909.09090906</v>
      </c>
      <c r="T29" s="11">
        <f t="shared" si="4"/>
        <v>9.0909063816070557E-2</v>
      </c>
      <c r="U29" s="15">
        <f>SUMIFS('DT-GV'!$N$6:$N$213,'DT-GV'!$H$6:$H$213,E29,'DT-GV'!$R$6:$R$213,"&lt;&gt;0")</f>
        <v>243690909</v>
      </c>
      <c r="V29" s="48">
        <f>SUMIFS('DT-GV'!$N$6:$N$213,'DT-GV'!$H$6:$H$213,E29,'DT-GV'!$R$6:$R$213,0)</f>
        <v>0</v>
      </c>
      <c r="W29" s="15">
        <f>-SUMIFS('DT-GV'!$R$6:$R$213,'DT-GV'!$H$6:$H$213,E29)</f>
        <v>-263663636</v>
      </c>
      <c r="X29" s="11">
        <f>IFERROR(VLOOKUP($E29,'Dự thu chiết khấu'!$L$3:$AK$226,26,0)/1.1,0)</f>
        <v>29720363.636363633</v>
      </c>
      <c r="Y29" s="11">
        <f>IFERROR(VLOOKUP($E29,'Dự thu chiết khấu'!$L$3:$BE$226,46,0)/1.1,0)</f>
        <v>2436909.0909090908</v>
      </c>
      <c r="Z29" s="11">
        <f>-SUMIF('Lương năng suất'!$R$4:$R$208,E29,'Lương năng suất'!$AQ$4:$AQ$208)</f>
        <v>-4800000</v>
      </c>
      <c r="AA29" s="213" t="str">
        <f>IFERROR(IF(ISNUMBER(SEARCH("TẶNG",VLOOKUP(E29,'Dự thu chiết khấu'!$L$3:$AV$226,37,0))),"TẶNG",""),"")</f>
        <v/>
      </c>
      <c r="AB29" s="213" t="str">
        <f>IFERROR(IF(ISNUMBER(SEARCH("TẶNG",VLOOKUP(E29,'Dự thu chiết khấu'!$L$3:$AW$226,38,0))),"TẶNG",""),"")</f>
        <v/>
      </c>
      <c r="AC29" s="49">
        <f t="shared" si="5"/>
        <v>7384545.7272727229</v>
      </c>
      <c r="AD29" s="11">
        <f>IFERROR(VLOOKUP(E29,'Dự thu chiết khấu'!$L$3:$AM$226,28,0),0)</f>
        <v>0</v>
      </c>
      <c r="AE29" s="11">
        <f>IFERROR(VLOOKUP(E29,'Dự thu chiết khấu'!$L$3:$AN$226,29,0),0)</f>
        <v>0</v>
      </c>
      <c r="AF29" s="11">
        <f>IFERROR(VLOOKUP(E29,'Dự thu chiết khấu'!$L$3:$AO$226,30,0),0)</f>
        <v>0</v>
      </c>
    </row>
    <row r="30" spans="1:32">
      <c r="A30">
        <v>24</v>
      </c>
      <c r="B30" t="str">
        <f>IFERROR(INDEX('Dự thu chiết khấu'!$E:$E,MATCH(E30,'Dự thu chiết khấu'!$L:$L,0)),"")</f>
        <v>Lê Ngọc Đức</v>
      </c>
      <c r="C30" s="51" t="str">
        <f>IFERROR(INDEX('Dự thu chiết khấu'!$F:$F,MATCH(E30,'Dự thu chiết khấu'!$L:$L,0)),"")</f>
        <v>TRẦN TRUNG HIẾU</v>
      </c>
      <c r="D30" s="4" t="str">
        <f>IFERROR(INDEX('Dự thu chiết khấu'!$H:$H,MATCH(E30,'Dự thu chiết khấu'!$L:$L,0)),"")</f>
        <v>VF 5</v>
      </c>
      <c r="E30" s="4" t="str">
        <f>'Dự thu chiết khấu'!L27</f>
        <v>RLNV5JSEXTH736419</v>
      </c>
      <c r="F30" s="5" t="s">
        <v>100</v>
      </c>
      <c r="G30" s="5" t="str" cm="1">
        <f t="array" ref="G30">IFERROR(INDEX('DT-GV'!$X$6:$X$213,MATCH(1,('DT-GV'!$H$6:$H$213=E30)*('DT-GV'!$R$6:$R$213&lt;&gt;0),0)),IFERROR(VLOOKUP(E30,'DT-GV'!$H$6:$X$213,17,0),""))</f>
        <v>LAKD</v>
      </c>
      <c r="H30" s="6" t="str">
        <f>VLOOKUP(E30,'Dự thu chiết khấu'!$L$3:$M$226,2,0)</f>
        <v>S11001</v>
      </c>
      <c r="I30">
        <v>1</v>
      </c>
      <c r="J30" s="11">
        <f>VLOOKUP(E30,'Dự thu chiết khấu'!$L$3:$P$226,5,0)</f>
        <v>529000000</v>
      </c>
      <c r="K30" s="12">
        <f t="shared" si="1"/>
        <v>31740000</v>
      </c>
      <c r="L30" s="12">
        <f t="shared" si="2"/>
        <v>0</v>
      </c>
      <c r="M30" s="13">
        <f>IFERROR(VLOOKUP(E30,'Dự thu chiết khấu'!$L$3:$R$226,7,0),0)</f>
        <v>0</v>
      </c>
      <c r="N30" s="14">
        <f>IFERROR(VLOOKUP(E30,'Dự thu chiết khấu'!$L$3:$S$226,8,0),0)</f>
        <v>0</v>
      </c>
      <c r="O30" s="11">
        <f>IF(IFERROR(VLOOKUP(E30,'Dự thu chiết khấu'!$L$3:$T$226,9,0),0)&gt;0,J30*$O$5,0)</f>
        <v>0</v>
      </c>
      <c r="P30" s="13">
        <f>IFERROR(VLOOKUP(E30,'Dự thu chiết khấu'!$L$3:$U$226,10,0),0)</f>
        <v>0</v>
      </c>
      <c r="Q30" s="12">
        <f>IFERROR(VLOOKUP(E30,'Dự thu chiết khấu'!$L$3:$V$226,11,0),0)</f>
        <v>0</v>
      </c>
      <c r="R30" s="12">
        <f>VLOOKUP($E30,'Dự thu chiết khấu'!$L$3:$W$226,12,0)</f>
        <v>10000000</v>
      </c>
      <c r="S30" s="12">
        <f t="shared" si="3"/>
        <v>442963636.36363631</v>
      </c>
      <c r="T30" s="11">
        <f t="shared" si="4"/>
        <v>0.363636314868927</v>
      </c>
      <c r="U30" s="15">
        <f>SUMIFS('DT-GV'!$N$6:$N$213,'DT-GV'!$H$6:$H$213,E30,'DT-GV'!$R$6:$R$213,"&lt;&gt;0")</f>
        <v>442963636</v>
      </c>
      <c r="V30" s="48">
        <f>SUMIFS('DT-GV'!$N$6:$N$213,'DT-GV'!$H$6:$H$213,E30,'DT-GV'!$R$6:$R$213,0)</f>
        <v>0</v>
      </c>
      <c r="W30" s="15">
        <f>-SUMIFS('DT-GV'!$R$6:$R$213,'DT-GV'!$H$6:$H$213,E30)</f>
        <v>-461672727</v>
      </c>
      <c r="X30" s="11">
        <f>IFERROR(VLOOKUP($E30,'Dự thu chiết khấu'!$L$3:$AK$226,26,0)/1.1,0)</f>
        <v>27700363.636363633</v>
      </c>
      <c r="Y30" s="11">
        <f>IFERROR(VLOOKUP($E30,'Dự thu chiết khấu'!$L$3:$BE$226,46,0)/1.1,0)</f>
        <v>0</v>
      </c>
      <c r="Z30" s="11">
        <f>-SUMIF('Lương năng suất'!$R$4:$R$208,E30,'Lương năng suất'!$AQ$4:$AQ$208)</f>
        <v>-3600000</v>
      </c>
      <c r="AA30" s="213" t="str">
        <f>IFERROR(IF(ISNUMBER(SEARCH("TẶNG",VLOOKUP(E30,'Dự thu chiết khấu'!$L$3:$AV$226,37,0))),"TẶNG",""),"")</f>
        <v/>
      </c>
      <c r="AB30" s="213" t="str">
        <f>IFERROR(IF(ISNUMBER(SEARCH("TẶNG",VLOOKUP(E30,'Dự thu chiết khấu'!$L$3:$AW$226,38,0))),"TẶNG",""),"")</f>
        <v/>
      </c>
      <c r="AC30" s="49">
        <f t="shared" si="5"/>
        <v>5391272.636363633</v>
      </c>
      <c r="AD30" s="11">
        <f>IFERROR(VLOOKUP(E30,'Dự thu chiết khấu'!$L$3:$AM$226,28,0),0)</f>
        <v>0</v>
      </c>
      <c r="AE30" s="11">
        <f>IFERROR(VLOOKUP(E30,'Dự thu chiết khấu'!$L$3:$AN$226,29,0),0)</f>
        <v>0</v>
      </c>
      <c r="AF30" s="11">
        <f>IFERROR(VLOOKUP(E30,'Dự thu chiết khấu'!$L$3:$AO$226,30,0),0)</f>
        <v>0</v>
      </c>
    </row>
    <row r="31" spans="1:32">
      <c r="A31" s="11">
        <v>25</v>
      </c>
      <c r="B31" t="str">
        <f>IFERROR(INDEX('Dự thu chiết khấu'!$E:$E,MATCH(E31,'Dự thu chiết khấu'!$L:$L,0)),"")</f>
        <v>Nguyễn Hoàng Trọng Khang</v>
      </c>
      <c r="C31" s="51" t="str">
        <f>IFERROR(INDEX('Dự thu chiết khấu'!$F:$F,MATCH(E31,'Dự thu chiết khấu'!$L:$L,0)),"")</f>
        <v>VÕ TRẦN LĨNH</v>
      </c>
      <c r="D31" s="4" t="str">
        <f>IFERROR(INDEX('Dự thu chiết khấu'!$H:$H,MATCH(E31,'Dự thu chiết khấu'!$L:$L,0)),"")</f>
        <v>VF 3</v>
      </c>
      <c r="E31" s="4" t="str">
        <f>'Dự thu chiết khấu'!L28</f>
        <v>RLNVBL9K3TT711956</v>
      </c>
      <c r="F31" s="5" t="s">
        <v>100</v>
      </c>
      <c r="G31" s="5" t="str" cm="1">
        <f t="array" ref="G31">IFERROR(INDEX('DT-GV'!$X$6:$X$213,MATCH(1,('DT-GV'!$H$6:$H$213=E31)*('DT-GV'!$R$6:$R$213&lt;&gt;0),0)),IFERROR(VLOOKUP(E31,'DT-GV'!$H$6:$X$213,17,0),""))</f>
        <v>LAKD</v>
      </c>
      <c r="H31" s="6" t="str">
        <f>VLOOKUP(E31,'Dự thu chiết khấu'!$L$3:$M$226,2,0)</f>
        <v>S11001</v>
      </c>
      <c r="I31">
        <v>1</v>
      </c>
      <c r="J31" s="11">
        <f>VLOOKUP(E31,'Dự thu chiết khấu'!$L$3:$P$226,5,0)</f>
        <v>315000000</v>
      </c>
      <c r="K31" s="12">
        <f t="shared" si="1"/>
        <v>18900000</v>
      </c>
      <c r="L31" s="12">
        <f t="shared" si="2"/>
        <v>0</v>
      </c>
      <c r="M31" s="13">
        <f>IFERROR(VLOOKUP(E31,'Dự thu chiết khấu'!$L$3:$R$226,7,0),0)</f>
        <v>0</v>
      </c>
      <c r="N31" s="14">
        <f>IFERROR(VLOOKUP(E31,'Dự thu chiết khấu'!$L$3:$S$226,8,0),0)</f>
        <v>0</v>
      </c>
      <c r="O31" s="11">
        <f>IF(IFERROR(VLOOKUP(E31,'Dự thu chiết khấu'!$L$3:$T$226,9,0),0)&gt;0,J31*$O$5,0)</f>
        <v>0</v>
      </c>
      <c r="P31" s="13">
        <f>IFERROR(VLOOKUP(E31,'Dự thu chiết khấu'!$L$3:$U$226,10,0),0)</f>
        <v>0</v>
      </c>
      <c r="Q31" s="12">
        <f>IFERROR(VLOOKUP(E31,'Dự thu chiết khấu'!$L$3:$V$226,11,0),0)</f>
        <v>0</v>
      </c>
      <c r="R31" s="12">
        <f>VLOOKUP($E31,'Dự thu chiết khấu'!$L$3:$W$226,12,0)</f>
        <v>0</v>
      </c>
      <c r="S31" s="12">
        <f t="shared" si="3"/>
        <v>269181818.18181819</v>
      </c>
      <c r="T31" s="11">
        <f t="shared" si="4"/>
        <v>0.18181818723678589</v>
      </c>
      <c r="U31" s="15">
        <f>SUMIFS('DT-GV'!$N$6:$N$213,'DT-GV'!$H$6:$H$213,E31,'DT-GV'!$R$6:$R$213,"&lt;&gt;0")</f>
        <v>269181818</v>
      </c>
      <c r="V31" s="48">
        <f>SUMIFS('DT-GV'!$N$6:$N$213,'DT-GV'!$H$6:$H$213,E31,'DT-GV'!$R$6:$R$213,0)</f>
        <v>0</v>
      </c>
      <c r="W31" s="15">
        <f>-SUMIFS('DT-GV'!$R$6:$R$213,'DT-GV'!$H$6:$H$213,E31)</f>
        <v>-274909091</v>
      </c>
      <c r="X31" s="11">
        <f>IFERROR(VLOOKUP($E31,'Dự thu chiết khấu'!$L$3:$AK$226,26,0)/1.1,0)</f>
        <v>16494545.454545453</v>
      </c>
      <c r="Y31" s="11">
        <f>IFERROR(VLOOKUP($E31,'Dự thu chiết khấu'!$L$3:$BE$226,46,0)/1.1,0)</f>
        <v>0</v>
      </c>
      <c r="Z31" s="11">
        <f>-SUMIF('Lương năng suất'!$R$4:$R$208,E31,'Lương năng suất'!$AQ$4:$AQ$208)</f>
        <v>-6800000</v>
      </c>
      <c r="AA31" s="213" t="str">
        <f>IFERROR(IF(ISNUMBER(SEARCH("TẶNG",VLOOKUP(E31,'Dự thu chiết khấu'!$L$3:$AV$226,37,0))),"TẶNG",""),"")</f>
        <v>TẶNG</v>
      </c>
      <c r="AB31" s="213" t="str">
        <f>IFERROR(IF(ISNUMBER(SEARCH("TẶNG",VLOOKUP(E31,'Dự thu chiết khấu'!$L$3:$AW$226,38,0))),"TẶNG",""),"")</f>
        <v/>
      </c>
      <c r="AC31" s="49">
        <f t="shared" si="5"/>
        <v>3967272.4545454532</v>
      </c>
      <c r="AD31" s="11">
        <f>IFERROR(VLOOKUP(E31,'Dự thu chiết khấu'!$L$3:$AM$226,28,0),0)</f>
        <v>0</v>
      </c>
      <c r="AE31" s="11">
        <f>IFERROR(VLOOKUP(E31,'Dự thu chiết khấu'!$L$3:$AN$226,29,0),0)</f>
        <v>0</v>
      </c>
      <c r="AF31" s="11">
        <f>IFERROR(VLOOKUP(E31,'Dự thu chiết khấu'!$L$3:$AO$226,30,0),0)</f>
        <v>0</v>
      </c>
    </row>
    <row r="32" spans="1:32">
      <c r="A32">
        <v>26</v>
      </c>
      <c r="B32" t="str">
        <f>IFERROR(INDEX('Dự thu chiết khấu'!$E:$E,MATCH(E32,'Dự thu chiết khấu'!$L:$L,0)),"")</f>
        <v>NGUYỄN VĂN VĨNH</v>
      </c>
      <c r="C32" s="51" t="str">
        <f>IFERROR(INDEX('Dự thu chiết khấu'!$F:$F,MATCH(E32,'Dự thu chiết khấu'!$L:$L,0)),"")</f>
        <v>NGUYỄN NGOC HUY</v>
      </c>
      <c r="D32" s="4" t="str">
        <f>IFERROR(INDEX('Dự thu chiết khấu'!$H:$H,MATCH(E32,'Dự thu chiết khấu'!$L:$L,0)),"")</f>
        <v>LIMO GREEN</v>
      </c>
      <c r="E32" s="4" t="str">
        <f>'Dự thu chiết khấu'!L29</f>
        <v>RLLVFPNT4TH703161</v>
      </c>
      <c r="F32" s="5" t="s">
        <v>104</v>
      </c>
      <c r="G32" s="5" t="str" cm="1">
        <f t="array" ref="G32">IFERROR(INDEX('DT-GV'!$X$6:$X$213,MATCH(1,('DT-GV'!$H$6:$H$213=E32)*('DT-GV'!$R$6:$R$213&lt;&gt;0),0)),IFERROR(VLOOKUP(E32,'DT-GV'!$H$6:$X$213,17,0),""))</f>
        <v>SLKD</v>
      </c>
      <c r="H32" s="8" t="str">
        <f>VLOOKUP(E32,'Dự thu chiết khấu'!$L$3:$M$226,2,0)</f>
        <v>S11007</v>
      </c>
      <c r="I32">
        <v>1</v>
      </c>
      <c r="J32" s="11">
        <f>VLOOKUP(E32,'Dự thu chiết khấu'!$L$3:$P$226,5,0)</f>
        <v>749000000</v>
      </c>
      <c r="K32" s="12">
        <f t="shared" si="1"/>
        <v>44940000</v>
      </c>
      <c r="L32" s="12">
        <f t="shared" si="2"/>
        <v>0</v>
      </c>
      <c r="M32" s="13">
        <f>IFERROR(VLOOKUP(E32,'Dự thu chiết khấu'!$L$3:$R$226,7,0),0)</f>
        <v>0</v>
      </c>
      <c r="N32" s="14">
        <f>IFERROR(VLOOKUP(E32,'Dự thu chiết khấu'!$L$3:$S$226,8,0),0)</f>
        <v>0</v>
      </c>
      <c r="O32" s="11">
        <f>IF(IFERROR(VLOOKUP(E32,'Dự thu chiết khấu'!$L$3:$T$226,9,0),0)&gt;0,J32*$O$5,0)</f>
        <v>0</v>
      </c>
      <c r="P32" s="13">
        <f>IFERROR(VLOOKUP(E32,'Dự thu chiết khấu'!$L$3:$U$226,10,0),0)</f>
        <v>0</v>
      </c>
      <c r="Q32" s="12">
        <f>IFERROR(VLOOKUP(E32,'Dự thu chiết khấu'!$L$3:$V$226,11,0),0)</f>
        <v>0</v>
      </c>
      <c r="R32" s="12">
        <f>VLOOKUP($E32,'Dự thu chiết khấu'!$L$3:$W$226,12,0)</f>
        <v>12000000</v>
      </c>
      <c r="S32" s="12">
        <f t="shared" si="3"/>
        <v>629145454.5454545</v>
      </c>
      <c r="T32" s="11">
        <f t="shared" si="4"/>
        <v>-0.45454549789428711</v>
      </c>
      <c r="U32" s="15">
        <f>SUMIFS('DT-GV'!$N$6:$N$213,'DT-GV'!$H$6:$H$213,E32,'DT-GV'!$R$6:$R$213,"&lt;&gt;0")</f>
        <v>629145455</v>
      </c>
      <c r="V32" s="48">
        <f>SUMIFS('DT-GV'!$N$6:$N$213,'DT-GV'!$H$6:$H$213,E32,'DT-GV'!$R$6:$R$213,0)</f>
        <v>0</v>
      </c>
      <c r="W32" s="15">
        <f>-SUMIFS('DT-GV'!$R$6:$R$213,'DT-GV'!$H$6:$H$213,E32)</f>
        <v>-653672727</v>
      </c>
      <c r="X32" s="11">
        <f>IFERROR(VLOOKUP($E32,'Dự thu chiết khấu'!$L$3:$AK$226,26,0)/1.1,0)</f>
        <v>39220363.636363633</v>
      </c>
      <c r="Y32" s="11">
        <f>IFERROR(VLOOKUP($E32,'Dự thu chiết khấu'!$L$3:$BE$226,46,0)/1.1,0)</f>
        <v>6400545.4545454541</v>
      </c>
      <c r="Z32" s="11">
        <f>-SUMIF('Lương năng suất'!$R$4:$R$208,E32,'Lương năng suất'!$AQ$4:$AQ$208)</f>
        <v>-8600000</v>
      </c>
      <c r="AA32" s="213" t="str">
        <f>IFERROR(IF(ISNUMBER(SEARCH("TẶNG",VLOOKUP(E32,'Dự thu chiết khấu'!$L$3:$AV$226,37,0))),"TẶNG",""),"")</f>
        <v/>
      </c>
      <c r="AB32" s="213" t="str">
        <f>IFERROR(IF(ISNUMBER(SEARCH("TẶNG",VLOOKUP(E32,'Dự thu chiết khấu'!$L$3:$AW$226,38,0))),"TẶNG",""),"")</f>
        <v/>
      </c>
      <c r="AC32" s="49">
        <f t="shared" si="5"/>
        <v>12493637.090909086</v>
      </c>
      <c r="AD32" s="11">
        <f>IFERROR(VLOOKUP(E32,'Dự thu chiết khấu'!$L$3:$AM$226,28,0),0)</f>
        <v>0</v>
      </c>
      <c r="AE32" s="11">
        <f>IFERROR(VLOOKUP(E32,'Dự thu chiết khấu'!$L$3:$AN$226,29,0),0)</f>
        <v>0</v>
      </c>
      <c r="AF32" s="11">
        <f>IFERROR(VLOOKUP(E32,'Dự thu chiết khấu'!$L$3:$AO$226,30,0),0)</f>
        <v>0</v>
      </c>
    </row>
    <row r="33" spans="1:32">
      <c r="A33" s="11">
        <v>27</v>
      </c>
      <c r="B33" t="str">
        <f>IFERROR(INDEX('Dự thu chiết khấu'!$E:$E,MATCH(E33,'Dự thu chiết khấu'!$L:$L,0)),"")</f>
        <v>VÕ VĂN KIÊN</v>
      </c>
      <c r="C33" s="51" t="str">
        <f>IFERROR(INDEX('Dự thu chiết khấu'!$F:$F,MATCH(E33,'Dự thu chiết khấu'!$L:$L,0)),"")</f>
        <v>NGUYỄN THANH TUẤN</v>
      </c>
      <c r="D33" s="4" t="str">
        <f>IFERROR(INDEX('Dự thu chiết khấu'!$H:$H,MATCH(E33,'Dự thu chiết khấu'!$L:$L,0)),"")</f>
        <v>VF 6</v>
      </c>
      <c r="E33" s="4" t="str">
        <f>'Dự thu chiết khấu'!L30</f>
        <v>RLLVAG8CXTH737325</v>
      </c>
      <c r="F33" s="5" t="s">
        <v>104</v>
      </c>
      <c r="G33" s="5" t="str" cm="1">
        <f t="array" ref="G33">IFERROR(INDEX('DT-GV'!$X$6:$X$213,MATCH(1,('DT-GV'!$H$6:$H$213=E33)*('DT-GV'!$R$6:$R$213&lt;&gt;0),0)),IFERROR(VLOOKUP(E33,'DT-GV'!$H$6:$X$213,17,0),""))</f>
        <v>SLKD</v>
      </c>
      <c r="H33" s="6" t="str">
        <f>VLOOKUP(E33,'Dự thu chiết khấu'!$L$3:$M$226,2,0)</f>
        <v>S11007</v>
      </c>
      <c r="I33">
        <v>1</v>
      </c>
      <c r="J33" s="11">
        <f>VLOOKUP(E33,'Dự thu chiết khấu'!$L$3:$P$226,5,0)</f>
        <v>745000000</v>
      </c>
      <c r="K33" s="12">
        <f t="shared" si="1"/>
        <v>44700000</v>
      </c>
      <c r="L33" s="12">
        <f t="shared" si="2"/>
        <v>0</v>
      </c>
      <c r="M33" s="13">
        <f>IFERROR(VLOOKUP(E33,'Dự thu chiết khấu'!$L$3:$R$226,7,0),0)</f>
        <v>0</v>
      </c>
      <c r="N33" s="14">
        <f>IFERROR(VLOOKUP(E33,'Dự thu chiết khấu'!$L$3:$S$226,8,0),0)</f>
        <v>0</v>
      </c>
      <c r="O33" s="11">
        <f>IF(IFERROR(VLOOKUP(E33,'Dự thu chiết khấu'!$L$3:$T$226,9,0),0)&gt;0,J33*$O$5,0)</f>
        <v>0</v>
      </c>
      <c r="P33" s="13">
        <f>IFERROR(VLOOKUP(E33,'Dự thu chiết khấu'!$L$3:$U$226,10,0),0)</f>
        <v>0</v>
      </c>
      <c r="Q33" s="12">
        <f>IFERROR(VLOOKUP(E33,'Dự thu chiết khấu'!$L$3:$V$226,11,0),0)</f>
        <v>0</v>
      </c>
      <c r="R33" s="12">
        <f>VLOOKUP($E33,'Dự thu chiết khấu'!$L$3:$W$226,12,0)</f>
        <v>5000000</v>
      </c>
      <c r="S33" s="12">
        <f t="shared" si="3"/>
        <v>632090909.090909</v>
      </c>
      <c r="T33" s="11">
        <f t="shared" si="4"/>
        <v>9.0909004211425781E-2</v>
      </c>
      <c r="U33" s="15">
        <f>SUMIFS('DT-GV'!$N$6:$N$213,'DT-GV'!$H$6:$H$213,E33,'DT-GV'!$R$6:$R$213,"&lt;&gt;0")</f>
        <v>632090909</v>
      </c>
      <c r="V33" s="48">
        <f>SUMIFS('DT-GV'!$N$6:$N$213,'DT-GV'!$H$6:$H$213,E33,'DT-GV'!$R$6:$R$213,0)</f>
        <v>0</v>
      </c>
      <c r="W33" s="15">
        <f>-SUMIFS('DT-GV'!$R$6:$R$213,'DT-GV'!$H$6:$H$213,E33)</f>
        <v>-650181818</v>
      </c>
      <c r="X33" s="11">
        <f>IFERROR(VLOOKUP($E33,'Dự thu chiết khấu'!$L$3:$AK$226,26,0)/1.1,0)</f>
        <v>39010909.090909086</v>
      </c>
      <c r="Y33" s="11">
        <f>IFERROR(VLOOKUP($E33,'Dự thu chiết khấu'!$L$3:$BE$226,46,0)/1.1,0)</f>
        <v>6366363.6363636358</v>
      </c>
      <c r="Z33" s="11">
        <f>-SUMIF('Lương năng suất'!$R$4:$R$208,E33,'Lương năng suất'!$AQ$4:$AQ$208)</f>
        <v>-12000000</v>
      </c>
      <c r="AA33" s="213" t="str">
        <f>IFERROR(IF(ISNUMBER(SEARCH("TẶNG",VLOOKUP(E33,'Dự thu chiết khấu'!$L$3:$AV$226,37,0))),"TẶNG",""),"")</f>
        <v/>
      </c>
      <c r="AB33" s="213" t="str">
        <f>IFERROR(IF(ISNUMBER(SEARCH("TẶNG",VLOOKUP(E33,'Dự thu chiết khấu'!$L$3:$AW$226,38,0))),"TẶNG",""),"")</f>
        <v/>
      </c>
      <c r="AC33" s="49">
        <f t="shared" si="5"/>
        <v>15286363.727272723</v>
      </c>
      <c r="AD33" s="11">
        <f>IFERROR(VLOOKUP(E33,'Dự thu chiết khấu'!$L$3:$AM$226,28,0),0)</f>
        <v>0</v>
      </c>
      <c r="AE33" s="11">
        <f>IFERROR(VLOOKUP(E33,'Dự thu chiết khấu'!$L$3:$AN$226,29,0),0)</f>
        <v>0</v>
      </c>
      <c r="AF33" s="11">
        <f>IFERROR(VLOOKUP(E33,'Dự thu chiết khấu'!$L$3:$AO$226,30,0),0)</f>
        <v>10000000</v>
      </c>
    </row>
    <row r="34" spans="1:32">
      <c r="A34">
        <v>28</v>
      </c>
      <c r="B34" t="str">
        <f>IFERROR(INDEX('Dự thu chiết khấu'!$E:$E,MATCH(E34,'Dự thu chiết khấu'!$L:$L,0)),"")</f>
        <v xml:space="preserve">NGUYỄN VĂN VĨNH </v>
      </c>
      <c r="C34" s="51" t="str">
        <f>IFERROR(INDEX('Dự thu chiết khấu'!$F:$F,MATCH(E34,'Dự thu chiết khấu'!$L:$L,0)),"")</f>
        <v>VÒNG NGỌC UYÊN</v>
      </c>
      <c r="D34" s="4" t="str">
        <f>IFERROR(INDEX('Dự thu chiết khấu'!$H:$H,MATCH(E34,'Dự thu chiết khấu'!$L:$L,0)),"")</f>
        <v>LIMO GREEN</v>
      </c>
      <c r="E34" s="4" t="str">
        <f>'Dự thu chiết khấu'!L31</f>
        <v>RLLVFPNTXTH743647</v>
      </c>
      <c r="F34" s="5" t="s">
        <v>104</v>
      </c>
      <c r="G34" s="5" t="str" cm="1">
        <f t="array" ref="G34">IFERROR(INDEX('DT-GV'!$X$6:$X$213,MATCH(1,('DT-GV'!$H$6:$H$213=E34)*('DT-GV'!$R$6:$R$213&lt;&gt;0),0)),IFERROR(VLOOKUP(E34,'DT-GV'!$H$6:$X$213,17,0),""))</f>
        <v>SLKD</v>
      </c>
      <c r="H34" s="6" t="str">
        <f>VLOOKUP(E34,'Dự thu chiết khấu'!$L$3:$M$226,2,0)</f>
        <v>S11007</v>
      </c>
      <c r="I34">
        <v>1</v>
      </c>
      <c r="J34" s="11">
        <f>VLOOKUP(E34,'Dự thu chiết khấu'!$L$3:$P$226,5,0)</f>
        <v>749000000</v>
      </c>
      <c r="K34" s="12">
        <f t="shared" si="1"/>
        <v>44940000</v>
      </c>
      <c r="L34" s="12">
        <f t="shared" si="2"/>
        <v>0</v>
      </c>
      <c r="M34" s="13">
        <f>IFERROR(VLOOKUP(E34,'Dự thu chiết khấu'!$L$3:$R$226,7,0),0)</f>
        <v>0</v>
      </c>
      <c r="N34" s="14">
        <f>IFERROR(VLOOKUP(E34,'Dự thu chiết khấu'!$L$3:$S$226,8,0),0)</f>
        <v>0</v>
      </c>
      <c r="O34" s="11">
        <f>IF(IFERROR(VLOOKUP(E34,'Dự thu chiết khấu'!$L$3:$T$226,9,0),0)&gt;0,J34*$O$5,0)</f>
        <v>0</v>
      </c>
      <c r="P34" s="13">
        <f>IFERROR(VLOOKUP(E34,'Dự thu chiết khấu'!$L$3:$U$226,10,0),0)</f>
        <v>0</v>
      </c>
      <c r="Q34" s="12">
        <f>IFERROR(VLOOKUP(E34,'Dự thu chiết khấu'!$L$3:$V$226,11,0),0)</f>
        <v>0</v>
      </c>
      <c r="R34" s="12">
        <f>VLOOKUP($E34,'Dự thu chiết khấu'!$L$3:$W$226,12,0)</f>
        <v>8000000</v>
      </c>
      <c r="S34" s="12">
        <f t="shared" si="3"/>
        <v>632781818.18181813</v>
      </c>
      <c r="T34" s="11">
        <f t="shared" si="4"/>
        <v>0.18181812763214111</v>
      </c>
      <c r="U34" s="15">
        <f>SUMIFS('DT-GV'!$N$6:$N$213,'DT-GV'!$H$6:$H$213,E34,'DT-GV'!$R$6:$R$213,"&lt;&gt;0")</f>
        <v>632781818</v>
      </c>
      <c r="V34" s="48">
        <f>SUMIFS('DT-GV'!$N$6:$N$213,'DT-GV'!$H$6:$H$213,E34,'DT-GV'!$R$6:$R$213,0)</f>
        <v>0</v>
      </c>
      <c r="W34" s="15">
        <f>-SUMIFS('DT-GV'!$R$6:$R$213,'DT-GV'!$H$6:$H$213,E34)</f>
        <v>-653672727</v>
      </c>
      <c r="X34" s="11">
        <f>IFERROR(VLOOKUP($E34,'Dự thu chiết khấu'!$L$3:$AK$226,26,0)/1.1,0)</f>
        <v>39220363.636363633</v>
      </c>
      <c r="Y34" s="11">
        <f>IFERROR(VLOOKUP($E34,'Dự thu chiết khấu'!$L$3:$BE$226,46,0)/1.1,0)</f>
        <v>6400545.4545454541</v>
      </c>
      <c r="Z34" s="11">
        <f>-SUMIF('Lương năng suất'!$R$4:$R$208,E34,'Lương năng suất'!$AQ$4:$AQ$208)</f>
        <v>-11800000</v>
      </c>
      <c r="AA34" s="213" t="str">
        <f>IFERROR(IF(ISNUMBER(SEARCH("TẶNG",VLOOKUP(E34,'Dự thu chiết khấu'!$L$3:$AV$226,37,0))),"TẶNG",""),"")</f>
        <v/>
      </c>
      <c r="AB34" s="213" t="str">
        <f>IFERROR(IF(ISNUMBER(SEARCH("TẶNG",VLOOKUP(E34,'Dự thu chiết khấu'!$L$3:$AW$226,38,0))),"TẶNG",""),"")</f>
        <v/>
      </c>
      <c r="AC34" s="49">
        <f t="shared" si="5"/>
        <v>12930000.090909086</v>
      </c>
      <c r="AD34" s="11">
        <f>IFERROR(VLOOKUP(E34,'Dự thu chiết khấu'!$L$3:$AM$226,28,0),0)</f>
        <v>0</v>
      </c>
      <c r="AE34" s="11">
        <f>IFERROR(VLOOKUP(E34,'Dự thu chiết khấu'!$L$3:$AN$226,29,0),0)</f>
        <v>0</v>
      </c>
      <c r="AF34" s="11">
        <f>IFERROR(VLOOKUP(E34,'Dự thu chiết khấu'!$L$3:$AO$226,30,0),0)</f>
        <v>0</v>
      </c>
    </row>
    <row r="35" spans="1:32" ht="23">
      <c r="A35" s="11">
        <v>29</v>
      </c>
      <c r="B35" t="str">
        <f>IFERROR(INDEX('Dự thu chiết khấu'!$E:$E,MATCH(E35,'Dự thu chiết khấu'!$L:$L,0)),"")</f>
        <v>LÊ HOÀNG ANH</v>
      </c>
      <c r="C35" s="51" t="str">
        <f>IFERROR(INDEX('Dự thu chiết khấu'!$F:$F,MATCH(E35,'Dự thu chiết khấu'!$L:$L,0)),"")</f>
        <v>CÔNG TY TNHH XNK GIAO NHẠN VẬN TẢI QUỐC BẢO</v>
      </c>
      <c r="D35" s="4" t="str">
        <f>IFERROR(INDEX('Dự thu chiết khấu'!$H:$H,MATCH(E35,'Dự thu chiết khấu'!$L:$L,0)),"")</f>
        <v>VF 5</v>
      </c>
      <c r="E35" s="4" t="str">
        <f>'Dự thu chiết khấu'!L32</f>
        <v>RLNV5JSEXTH735738</v>
      </c>
      <c r="F35" s="5" t="s">
        <v>104</v>
      </c>
      <c r="G35" s="5" t="str" cm="1">
        <f t="array" ref="G35">IFERROR(INDEX('DT-GV'!$X$6:$X$213,MATCH(1,('DT-GV'!$H$6:$H$213=E35)*('DT-GV'!$R$6:$R$213&lt;&gt;0),0)),IFERROR(VLOOKUP(E35,'DT-GV'!$H$6:$X$213,17,0),""))</f>
        <v>SLKD</v>
      </c>
      <c r="H35" s="6" t="str">
        <f>VLOOKUP(E35,'Dự thu chiết khấu'!$L$3:$M$226,2,0)</f>
        <v>S11007</v>
      </c>
      <c r="I35">
        <v>1</v>
      </c>
      <c r="J35" s="11">
        <f>VLOOKUP(E35,'Dự thu chiết khấu'!$L$3:$P$226,5,0)</f>
        <v>529000000</v>
      </c>
      <c r="K35" s="12">
        <f t="shared" si="1"/>
        <v>31740000</v>
      </c>
      <c r="L35" s="12">
        <f t="shared" si="2"/>
        <v>0</v>
      </c>
      <c r="M35" s="13">
        <f>IFERROR(VLOOKUP(E35,'Dự thu chiết khấu'!$L$3:$R$226,7,0),0)</f>
        <v>0</v>
      </c>
      <c r="N35" s="14">
        <f>IFERROR(VLOOKUP(E35,'Dự thu chiết khấu'!$L$3:$S$226,8,0),0)</f>
        <v>0</v>
      </c>
      <c r="O35" s="11">
        <f>IF(IFERROR(VLOOKUP(E35,'Dự thu chiết khấu'!$L$3:$T$226,9,0),0)&gt;0,J35*$O$5,0)</f>
        <v>0</v>
      </c>
      <c r="P35" s="13">
        <f>IFERROR(VLOOKUP(E35,'Dự thu chiết khấu'!$L$3:$U$226,10,0),0)</f>
        <v>0</v>
      </c>
      <c r="Q35" s="12">
        <f>IFERROR(VLOOKUP(E35,'Dự thu chiết khấu'!$L$3:$V$226,11,0),0)</f>
        <v>0</v>
      </c>
      <c r="R35" s="12">
        <f>VLOOKUP($E35,'Dự thu chiết khấu'!$L$3:$W$226,12,0)</f>
        <v>0</v>
      </c>
      <c r="S35" s="12">
        <f t="shared" si="3"/>
        <v>452054545.45454544</v>
      </c>
      <c r="T35" s="11">
        <f t="shared" si="4"/>
        <v>0.45454543828964233</v>
      </c>
      <c r="U35" s="15">
        <f>SUMIFS('DT-GV'!$N$6:$N$213,'DT-GV'!$H$6:$H$213,E35,'DT-GV'!$R$6:$R$213,"&lt;&gt;0")</f>
        <v>452054545</v>
      </c>
      <c r="V35" s="48">
        <f>SUMIFS('DT-GV'!$N$6:$N$213,'DT-GV'!$H$6:$H$213,E35,'DT-GV'!$R$6:$R$213,0)</f>
        <v>0</v>
      </c>
      <c r="W35" s="15">
        <f>-SUMIFS('DT-GV'!$R$6:$R$213,'DT-GV'!$H$6:$H$213,E35)</f>
        <v>-461672727</v>
      </c>
      <c r="X35" s="11">
        <f>IFERROR(VLOOKUP($E35,'Dự thu chiết khấu'!$L$3:$AK$226,26,0)/1.1,0)</f>
        <v>27700363.636363633</v>
      </c>
      <c r="Y35" s="11">
        <f>IFERROR(VLOOKUP($E35,'Dự thu chiết khấu'!$L$3:$BE$226,46,0)/1.1,0)</f>
        <v>4520545.4545454541</v>
      </c>
      <c r="Z35" s="11">
        <f>-SUMIF('Lương năng suất'!$R$4:$R$208,E35,'Lương năng suất'!$AQ$4:$AQ$208)</f>
        <v>-11889268.644600404</v>
      </c>
      <c r="AA35" s="213" t="str">
        <f>IFERROR(IF(ISNUMBER(SEARCH("TẶNG",VLOOKUP(E35,'Dự thu chiết khấu'!$L$3:$AV$226,37,0))),"TẶNG",""),"")</f>
        <v/>
      </c>
      <c r="AB35" s="213" t="str">
        <f>IFERROR(IF(ISNUMBER(SEARCH("TẶNG",VLOOKUP(E35,'Dự thu chiết khấu'!$L$3:$AW$226,38,0))),"TẶNG",""),"")</f>
        <v/>
      </c>
      <c r="AC35" s="49">
        <f t="shared" si="5"/>
        <v>10713458.446308682</v>
      </c>
      <c r="AD35" s="11">
        <f>IFERROR(VLOOKUP(E35,'Dự thu chiết khấu'!$L$3:$AM$226,28,0),0)</f>
        <v>0</v>
      </c>
      <c r="AE35" s="11">
        <f>IFERROR(VLOOKUP(E35,'Dự thu chiết khấu'!$L$3:$AN$226,29,0),0)</f>
        <v>0</v>
      </c>
      <c r="AF35" s="11">
        <f>IFERROR(VLOOKUP(E35,'Dự thu chiết khấu'!$L$3:$AO$226,30,0),0)</f>
        <v>7000000</v>
      </c>
    </row>
    <row r="36" spans="1:32">
      <c r="A36">
        <v>30</v>
      </c>
      <c r="B36" t="str">
        <f>IFERROR(INDEX('Dự thu chiết khấu'!$E:$E,MATCH(E36,'Dự thu chiết khấu'!$L:$L,0)),"")</f>
        <v>Lê Ngọc Đức</v>
      </c>
      <c r="C36" s="51" t="str">
        <f>IFERROR(INDEX('Dự thu chiết khấu'!$F:$F,MATCH(E36,'Dự thu chiết khấu'!$L:$L,0)),"")</f>
        <v>NGUYỄN THỊ HỒNG XUYẾN</v>
      </c>
      <c r="D36" s="4" t="str">
        <f>IFERROR(INDEX('Dự thu chiết khấu'!$H:$H,MATCH(E36,'Dự thu chiết khấu'!$L:$L,0)),"")</f>
        <v>VF 3</v>
      </c>
      <c r="E36" s="4" t="str">
        <f>'Dự thu chiết khấu'!L33</f>
        <v>RLNVBL9KXST716957</v>
      </c>
      <c r="F36" s="5" t="s">
        <v>100</v>
      </c>
      <c r="G36" s="5" t="str" cm="1">
        <f t="array" ref="G36">IFERROR(INDEX('DT-GV'!$X$6:$X$213,MATCH(1,('DT-GV'!$H$6:$H$213=E36)*('DT-GV'!$R$6:$R$213&lt;&gt;0),0)),IFERROR(VLOOKUP(E36,'DT-GV'!$H$6:$X$213,17,0),""))</f>
        <v>LAKD</v>
      </c>
      <c r="H36" s="6" t="str">
        <f>VLOOKUP(E36,'Dự thu chiết khấu'!$L$3:$M$226,2,0)</f>
        <v>S11008</v>
      </c>
      <c r="I36">
        <v>1</v>
      </c>
      <c r="J36" s="11">
        <f>VLOOKUP(E36,'Dự thu chiết khấu'!$L$3:$P$226,5,0)</f>
        <v>310000000</v>
      </c>
      <c r="K36" s="12">
        <f t="shared" si="1"/>
        <v>18600000</v>
      </c>
      <c r="L36" s="12">
        <f t="shared" si="2"/>
        <v>0</v>
      </c>
      <c r="M36" s="13">
        <f>IFERROR(VLOOKUP(E36,'Dự thu chiết khấu'!$L$3:$R$226,7,0),0)</f>
        <v>0</v>
      </c>
      <c r="N36" s="14">
        <f>IFERROR(VLOOKUP(E36,'Dự thu chiết khấu'!$L$3:$S$226,8,0),0)</f>
        <v>0</v>
      </c>
      <c r="O36" s="11">
        <f>IF(IFERROR(VLOOKUP(E36,'Dự thu chiết khấu'!$L$3:$T$226,9,0),0)&gt;0,J36*$O$5,0)</f>
        <v>9300000</v>
      </c>
      <c r="P36" s="13">
        <f>IFERROR(VLOOKUP(E36,'Dự thu chiết khấu'!$L$3:$U$226,10,0),0)</f>
        <v>0</v>
      </c>
      <c r="Q36" s="12">
        <f>IFERROR(VLOOKUP(E36,'Dự thu chiết khấu'!$L$3:$V$226,11,0),0)</f>
        <v>18000000</v>
      </c>
      <c r="R36" s="12">
        <f>VLOOKUP($E36,'Dự thu chiết khấu'!$L$3:$W$226,12,0)</f>
        <v>4100000</v>
      </c>
      <c r="S36" s="12">
        <f t="shared" si="3"/>
        <v>236363636.36363634</v>
      </c>
      <c r="T36" s="11">
        <f t="shared" si="4"/>
        <v>0.36363634467124939</v>
      </c>
      <c r="U36" s="15">
        <f>SUMIFS('DT-GV'!$N$6:$N$213,'DT-GV'!$H$6:$H$213,E36,'DT-GV'!$R$6:$R$213,"&lt;&gt;0")</f>
        <v>236363636</v>
      </c>
      <c r="V36" s="48">
        <f>SUMIFS('DT-GV'!$N$6:$N$213,'DT-GV'!$H$6:$H$213,E36,'DT-GV'!$R$6:$R$213,0)</f>
        <v>0</v>
      </c>
      <c r="W36" s="15">
        <f>-SUMIFS('DT-GV'!$R$6:$R$213,'DT-GV'!$H$6:$H$213,E36)</f>
        <v>-270545455</v>
      </c>
      <c r="X36" s="11">
        <f>IFERROR(VLOOKUP($E36,'Dự thu chiết khấu'!$L$3:$AK$226,26,0)/1.1,0)</f>
        <v>40058181.818181813</v>
      </c>
      <c r="Y36" s="11">
        <f>IFERROR(VLOOKUP($E36,'Dự thu chiết khấu'!$L$3:$BE$226,46,0)/1.1,0)</f>
        <v>0</v>
      </c>
      <c r="Z36" s="11">
        <f>-SUMIF('Lương năng suất'!$R$4:$R$208,E36,'Lương năng suất'!$AQ$4:$AQ$208)</f>
        <v>-3120000</v>
      </c>
      <c r="AA36" s="213" t="str">
        <f>IFERROR(IF(ISNUMBER(SEARCH("TẶNG",VLOOKUP(E36,'Dự thu chiết khấu'!$L$3:$AV$226,37,0))),"TẶNG",""),"")</f>
        <v/>
      </c>
      <c r="AB36" s="213" t="str">
        <f>IFERROR(IF(ISNUMBER(SEARCH("TẶNG",VLOOKUP(E36,'Dự thu chiết khấu'!$L$3:$AW$226,38,0))),"TẶNG",""),"")</f>
        <v/>
      </c>
      <c r="AC36" s="49">
        <f t="shared" si="5"/>
        <v>2756362.8181818128</v>
      </c>
      <c r="AD36" s="11">
        <f>IFERROR(VLOOKUP(E36,'Dự thu chiết khấu'!$L$3:$AM$226,28,0),0)</f>
        <v>0</v>
      </c>
      <c r="AE36" s="11">
        <f>IFERROR(VLOOKUP(E36,'Dự thu chiết khấu'!$L$3:$AN$226,29,0),0)</f>
        <v>0</v>
      </c>
      <c r="AF36" s="11">
        <f>IFERROR(VLOOKUP(E36,'Dự thu chiết khấu'!$L$3:$AO$226,30,0),0)</f>
        <v>0</v>
      </c>
    </row>
    <row r="37" spans="1:32">
      <c r="A37" s="11">
        <v>31</v>
      </c>
      <c r="B37" t="str">
        <f>IFERROR(INDEX('Dự thu chiết khấu'!$E:$E,MATCH(E37,'Dự thu chiết khấu'!$L:$L,0)),"")</f>
        <v>Trần Minh Hiếu</v>
      </c>
      <c r="C37" s="51" t="str">
        <f>IFERROR(INDEX('Dự thu chiết khấu'!$F:$F,MATCH(E37,'Dự thu chiết khấu'!$L:$L,0)),"")</f>
        <v>PHAN THANH SƠN</v>
      </c>
      <c r="D37" s="4" t="str">
        <f>IFERROR(INDEX('Dự thu chiết khấu'!$H:$H,MATCH(E37,'Dự thu chiết khấu'!$L:$L,0)),"")</f>
        <v>VF 3</v>
      </c>
      <c r="E37" s="4" t="str">
        <f>'Dự thu chiết khấu'!L34</f>
        <v>RLNVBL9K5TT712767</v>
      </c>
      <c r="F37" s="5" t="s">
        <v>100</v>
      </c>
      <c r="G37" s="5" t="str" cm="1">
        <f t="array" ref="G37">IFERROR(INDEX('DT-GV'!$X$6:$X$213,MATCH(1,('DT-GV'!$H$6:$H$213=E37)*('DT-GV'!$R$6:$R$213&lt;&gt;0),0)),IFERROR(VLOOKUP(E37,'DT-GV'!$H$6:$X$213,17,0),""))</f>
        <v>LAKD</v>
      </c>
      <c r="H37" s="8" t="str">
        <f>VLOOKUP(E37,'Dự thu chiết khấu'!$L$3:$M$226,2,0)</f>
        <v>S11001</v>
      </c>
      <c r="I37">
        <v>1</v>
      </c>
      <c r="J37" s="11">
        <f>VLOOKUP(E37,'Dự thu chiết khấu'!$L$3:$P$226,5,0)</f>
        <v>302000000</v>
      </c>
      <c r="K37" s="12">
        <f t="shared" si="1"/>
        <v>18120000</v>
      </c>
      <c r="L37" s="12">
        <f t="shared" si="2"/>
        <v>0</v>
      </c>
      <c r="M37" s="13">
        <f>IFERROR(VLOOKUP(E37,'Dự thu chiết khấu'!$L$3:$R$226,7,0),0)</f>
        <v>0</v>
      </c>
      <c r="N37" s="14">
        <f>IFERROR(VLOOKUP(E37,'Dự thu chiết khấu'!$L$3:$S$226,8,0),0)</f>
        <v>0</v>
      </c>
      <c r="O37" s="11">
        <f>IF(IFERROR(VLOOKUP(E37,'Dự thu chiết khấu'!$L$3:$T$226,9,0),0)&gt;0,J37*$O$5,0)</f>
        <v>0</v>
      </c>
      <c r="P37" s="13">
        <f>IFERROR(VLOOKUP(E37,'Dự thu chiết khấu'!$L$3:$U$226,10,0),0)</f>
        <v>0</v>
      </c>
      <c r="Q37" s="12">
        <f>IFERROR(VLOOKUP(E37,'Dự thu chiết khấu'!$L$3:$V$226,11,0),0)</f>
        <v>0</v>
      </c>
      <c r="R37" s="12">
        <f>VLOOKUP($E37,'Dự thu chiết khấu'!$L$3:$W$226,12,0)</f>
        <v>0</v>
      </c>
      <c r="S37" s="12">
        <f t="shared" si="3"/>
        <v>258072727.27272725</v>
      </c>
      <c r="T37" s="11">
        <f t="shared" si="4"/>
        <v>0.27272725105285645</v>
      </c>
      <c r="U37" s="15">
        <f>SUMIFS('DT-GV'!$N$6:$N$213,'DT-GV'!$H$6:$H$213,E37,'DT-GV'!$R$6:$R$213,"&lt;&gt;0")</f>
        <v>258072727</v>
      </c>
      <c r="V37" s="48">
        <f>SUMIFS('DT-GV'!$N$6:$N$213,'DT-GV'!$H$6:$H$213,E37,'DT-GV'!$R$6:$R$213,0)</f>
        <v>0</v>
      </c>
      <c r="W37" s="15">
        <f>-SUMIFS('DT-GV'!$R$6:$R$213,'DT-GV'!$H$6:$H$213,E37)</f>
        <v>-263563636</v>
      </c>
      <c r="X37" s="11">
        <f>IFERROR(VLOOKUP($E37,'Dự thu chiết khấu'!$L$3:$AK$226,26,0)/1.1,0)</f>
        <v>15813818.18181818</v>
      </c>
      <c r="Y37" s="11">
        <f>IFERROR(VLOOKUP($E37,'Dự thu chiết khấu'!$L$3:$BE$226,46,0)/1.1,0)</f>
        <v>0</v>
      </c>
      <c r="Z37" s="11">
        <f>-SUMIF('Lương năng suất'!$R$4:$R$208,E37,'Lương năng suất'!$AQ$4:$AQ$208)</f>
        <v>-4800000</v>
      </c>
      <c r="AA37" s="213" t="str">
        <f>IFERROR(IF(ISNUMBER(SEARCH("TẶNG",VLOOKUP(E37,'Dự thu chiết khấu'!$L$3:$AV$226,37,0))),"TẶNG",""),"")</f>
        <v>TẶNG</v>
      </c>
      <c r="AB37" s="213" t="str">
        <f>IFERROR(IF(ISNUMBER(SEARCH("TẶNG",VLOOKUP(E37,'Dự thu chiết khấu'!$L$3:$AW$226,38,0))),"TẶNG",""),"")</f>
        <v/>
      </c>
      <c r="AC37" s="49">
        <f t="shared" si="5"/>
        <v>5522909.1818181798</v>
      </c>
      <c r="AD37" s="11">
        <f>IFERROR(VLOOKUP(E37,'Dự thu chiết khấu'!$L$3:$AM$226,28,0),0)</f>
        <v>0</v>
      </c>
      <c r="AE37" s="11">
        <f>IFERROR(VLOOKUP(E37,'Dự thu chiết khấu'!$L$3:$AN$226,29,0),0)</f>
        <v>0</v>
      </c>
      <c r="AF37" s="11">
        <f>IFERROR(VLOOKUP(E37,'Dự thu chiết khấu'!$L$3:$AO$226,30,0),0)</f>
        <v>0</v>
      </c>
    </row>
    <row r="38" spans="1:32">
      <c r="A38">
        <v>32</v>
      </c>
      <c r="B38" t="str">
        <f>IFERROR(INDEX('Dự thu chiết khấu'!$E:$E,MATCH(E38,'Dự thu chiết khấu'!$L:$L,0)),"")</f>
        <v>Lê Ngọc Toàn</v>
      </c>
      <c r="C38" s="51" t="str">
        <f>IFERROR(INDEX('Dự thu chiết khấu'!$F:$F,MATCH(E38,'Dự thu chiết khấu'!$L:$L,0)),"")</f>
        <v>GIANG VĂN LUÂN</v>
      </c>
      <c r="D38" s="4" t="str">
        <f>IFERROR(INDEX('Dự thu chiết khấu'!$H:$H,MATCH(E38,'Dự thu chiết khấu'!$L:$L,0)),"")</f>
        <v>MPV 7</v>
      </c>
      <c r="E38" s="4" t="str">
        <f>'Dự thu chiết khấu'!L35</f>
        <v>RLLVFPTT4TH724210</v>
      </c>
      <c r="F38" s="5" t="s">
        <v>100</v>
      </c>
      <c r="G38" s="5" t="str" cm="1">
        <f t="array" ref="G38">IFERROR(INDEX('DT-GV'!$X$6:$X$213,MATCH(1,('DT-GV'!$H$6:$H$213=E38)*('DT-GV'!$R$6:$R$213&lt;&gt;0),0)),IFERROR(VLOOKUP(E38,'DT-GV'!$H$6:$X$213,17,0),""))</f>
        <v>LAKD</v>
      </c>
      <c r="H38" s="6" t="str">
        <f>VLOOKUP(E38,'Dự thu chiết khấu'!$L$3:$M$226,2,0)</f>
        <v>S11001</v>
      </c>
      <c r="I38">
        <v>1</v>
      </c>
      <c r="J38" s="11">
        <f>VLOOKUP(E38,'Dự thu chiết khấu'!$L$3:$P$226,5,0)</f>
        <v>819000000</v>
      </c>
      <c r="K38" s="12">
        <f t="shared" si="1"/>
        <v>49140000</v>
      </c>
      <c r="L38" s="12">
        <f t="shared" si="2"/>
        <v>0</v>
      </c>
      <c r="M38" s="13">
        <f>IFERROR(VLOOKUP(E38,'Dự thu chiết khấu'!$L$3:$R$226,7,0),0)</f>
        <v>0</v>
      </c>
      <c r="N38" s="14">
        <f>IFERROR(VLOOKUP(E38,'Dự thu chiết khấu'!$L$3:$S$226,8,0),0)</f>
        <v>0</v>
      </c>
      <c r="O38" s="11">
        <f>IF(IFERROR(VLOOKUP(E38,'Dự thu chiết khấu'!$L$3:$T$226,9,0),0)&gt;0,J38*$O$5,0)</f>
        <v>24570000</v>
      </c>
      <c r="P38" s="13">
        <f>IFERROR(VLOOKUP(E38,'Dự thu chiết khấu'!$L$3:$U$226,10,0),0)</f>
        <v>0</v>
      </c>
      <c r="Q38" s="12">
        <f>IFERROR(VLOOKUP(E38,'Dự thu chiết khấu'!$L$3:$V$226,11,0),0)</f>
        <v>0</v>
      </c>
      <c r="R38" s="12">
        <f>VLOOKUP($E38,'Dự thu chiết khấu'!$L$3:$W$226,12,0)</f>
        <v>0</v>
      </c>
      <c r="S38" s="12">
        <f t="shared" si="3"/>
        <v>677536363.63636363</v>
      </c>
      <c r="T38" s="11">
        <f t="shared" si="4"/>
        <v>-0.36363637447357178</v>
      </c>
      <c r="U38" s="15">
        <f>SUMIFS('DT-GV'!$N$6:$N$213,'DT-GV'!$H$6:$H$213,E38,'DT-GV'!$R$6:$R$213,"&lt;&gt;0")</f>
        <v>677536364</v>
      </c>
      <c r="V38" s="48">
        <f>SUMIFS('DT-GV'!$N$6:$N$213,'DT-GV'!$H$6:$H$213,E38,'DT-GV'!$R$6:$R$213,0)</f>
        <v>0</v>
      </c>
      <c r="W38" s="15">
        <f>-SUMIFS('DT-GV'!$R$6:$R$213,'DT-GV'!$H$6:$H$213,E38)</f>
        <v>-714763636</v>
      </c>
      <c r="X38" s="11">
        <f>IFERROR(VLOOKUP($E38,'Dự thu chiết khấu'!$L$3:$AK$226,26,0)/1.1,0)</f>
        <v>64328727.272727266</v>
      </c>
      <c r="Y38" s="11">
        <f>IFERROR(VLOOKUP($E38,'Dự thu chiết khấu'!$L$3:$BE$226,46,0)/1.1,0)</f>
        <v>0</v>
      </c>
      <c r="Z38" s="11">
        <f>-SUMIF('Lương năng suất'!$R$4:$R$208,E38,'Lương năng suất'!$AQ$4:$AQ$208)</f>
        <v>-15742880.661648395</v>
      </c>
      <c r="AA38" s="213" t="str">
        <f>IFERROR(IF(ISNUMBER(SEARCH("TẶNG",VLOOKUP(E38,'Dự thu chiết khấu'!$L$3:$AV$226,37,0))),"TẶNG",""),"")</f>
        <v>TẶNG</v>
      </c>
      <c r="AB38" s="213" t="str">
        <f>IFERROR(IF(ISNUMBER(SEARCH("TẶNG",VLOOKUP(E38,'Dự thu chiết khấu'!$L$3:$AW$226,38,0))),"TẶNG",""),"")</f>
        <v>TẶNG</v>
      </c>
      <c r="AC38" s="49">
        <f t="shared" si="5"/>
        <v>11358574.611078871</v>
      </c>
      <c r="AD38" s="11">
        <f>IFERROR(VLOOKUP(E38,'Dự thu chiết khấu'!$L$3:$AM$226,28,0),0)</f>
        <v>0</v>
      </c>
      <c r="AE38" s="11">
        <f>IFERROR(VLOOKUP(E38,'Dự thu chiết khấu'!$L$3:$AN$226,29,0),0)</f>
        <v>15000000</v>
      </c>
      <c r="AF38" s="11">
        <f>IFERROR(VLOOKUP(E38,'Dự thu chiết khấu'!$L$3:$AO$226,30,0),0)</f>
        <v>0</v>
      </c>
    </row>
    <row r="39" spans="1:32">
      <c r="A39" s="11">
        <v>33</v>
      </c>
      <c r="B39" t="str">
        <f>IFERROR(INDEX('Dự thu chiết khấu'!$E:$E,MATCH(E39,'Dự thu chiết khấu'!$L:$L,0)),"")</f>
        <v>Trần Minh Hiếu</v>
      </c>
      <c r="C39" s="51" t="str">
        <f>IFERROR(INDEX('Dự thu chiết khấu'!$F:$F,MATCH(E39,'Dự thu chiết khấu'!$L:$L,0)),"")</f>
        <v>HÀ PHÚ SANG</v>
      </c>
      <c r="D39" s="4" t="str">
        <f>IFERROR(INDEX('Dự thu chiết khấu'!$H:$H,MATCH(E39,'Dự thu chiết khấu'!$L:$L,0)),"")</f>
        <v>VF 6</v>
      </c>
      <c r="E39" s="4" t="str">
        <f>'Dự thu chiết khấu'!L36</f>
        <v>RLLVAG8C6TH736561</v>
      </c>
      <c r="F39" s="5" t="s">
        <v>100</v>
      </c>
      <c r="G39" s="5" t="str" cm="1">
        <f t="array" ref="G39">IFERROR(INDEX('DT-GV'!$X$6:$X$213,MATCH(1,('DT-GV'!$H$6:$H$213=E39)*('DT-GV'!$R$6:$R$213&lt;&gt;0),0)),IFERROR(VLOOKUP(E39,'DT-GV'!$H$6:$X$213,17,0),""))</f>
        <v>LAKD</v>
      </c>
      <c r="H39" s="7" t="str">
        <f>VLOOKUP(E39,'Dự thu chiết khấu'!$L$3:$M$226,2,0)</f>
        <v>S11001</v>
      </c>
      <c r="I39">
        <v>1</v>
      </c>
      <c r="J39" s="11">
        <f>VLOOKUP(E39,'Dự thu chiết khấu'!$L$3:$P$226,5,0)</f>
        <v>745000000</v>
      </c>
      <c r="K39" s="12">
        <f t="shared" ref="K39:K70" si="6">IF(M39&gt;0,0,IF(OR(LEFT(SUBSTITUTE(UPPER(D39)," ",""),3)="VF8",LEFT(SUBSTITUTE(UPPER(D39)," ",""),3)="VF9"),0,J39*$K$5))</f>
        <v>44700000</v>
      </c>
      <c r="L39" s="12">
        <f t="shared" ref="L39:L70" si="7">IF(M39&gt;0,0,IF(OR(LEFT(SUBSTITUTE(UPPER(D39)," ",""),3)="VF8",LEFT(SUBSTITUTE(UPPER(D39)," ",""),3)="VF9"),J39*$L$5,0))</f>
        <v>0</v>
      </c>
      <c r="M39" s="13">
        <f>IFERROR(VLOOKUP(E39,'Dự thu chiết khấu'!$L$3:$R$226,7,0),0)</f>
        <v>0</v>
      </c>
      <c r="N39" s="14">
        <f>IFERROR(VLOOKUP(E39,'Dự thu chiết khấu'!$L$3:$S$226,8,0),0)</f>
        <v>1.4999999999999999E-2</v>
      </c>
      <c r="O39" s="11">
        <f>IF(IFERROR(VLOOKUP(E39,'Dự thu chiết khấu'!$L$3:$T$226,9,0),0)&gt;0,J39*$O$5,0)</f>
        <v>22350000</v>
      </c>
      <c r="P39" s="13">
        <f>IFERROR(VLOOKUP(E39,'Dự thu chiết khấu'!$L$3:$U$226,10,0),0)</f>
        <v>0</v>
      </c>
      <c r="Q39" s="12">
        <f>IFERROR(VLOOKUP(E39,'Dự thu chiết khấu'!$L$3:$V$226,11,0),0)</f>
        <v>0</v>
      </c>
      <c r="R39" s="12">
        <f>VLOOKUP($E39,'Dự thu chiết khấu'!$L$3:$W$226,12,0)</f>
        <v>10000000</v>
      </c>
      <c r="S39" s="12">
        <f>(J39-K39-L39-O39-P39*J39-R39-Q39-(J39-K39-L39-AD39-AE39-AF39-Q39-O39-(P39*J39))*N39)/1.1</f>
        <v>597982500</v>
      </c>
      <c r="T39" s="11">
        <f t="shared" si="4"/>
        <v>0</v>
      </c>
      <c r="U39" s="15">
        <f>SUMIFS('DT-GV'!$N$6:$N$213,'DT-GV'!$H$6:$H$213,E39,'DT-GV'!$R$6:$R$213,"&lt;&gt;0")</f>
        <v>597982500</v>
      </c>
      <c r="V39" s="48">
        <f>SUMIFS('DT-GV'!$N$6:$N$213,'DT-GV'!$H$6:$H$213,E39,'DT-GV'!$R$6:$R$213,0)</f>
        <v>0</v>
      </c>
      <c r="W39" s="15">
        <f>-SUMIFS('DT-GV'!$R$6:$R$213,'DT-GV'!$H$6:$H$213,E39)</f>
        <v>-650181818</v>
      </c>
      <c r="X39" s="11">
        <f>IFERROR(VLOOKUP($E39,'Dự thu chiết khấu'!$L$3:$AK$226,26,0)/1.1,0)</f>
        <v>67391345.454545453</v>
      </c>
      <c r="Y39" s="11">
        <f>IFERROR(VLOOKUP($E39,'Dự thu chiết khấu'!$L$3:$BE$226,46,0)/1.1,0)</f>
        <v>0</v>
      </c>
      <c r="Z39" s="11">
        <f>-SUMIF('Lương năng suất'!$R$4:$R$208,E39,'Lương năng suất'!$AQ$4:$AQ$208)</f>
        <v>-6000000</v>
      </c>
      <c r="AA39" s="213" t="str">
        <f>IFERROR(IF(ISNUMBER(SEARCH("TẶNG",VLOOKUP(E39,'Dự thu chiết khấu'!$L$3:$AV$226,37,0))),"TẶNG",""),"")</f>
        <v>TẶNG</v>
      </c>
      <c r="AB39" s="213" t="str">
        <f>IFERROR(IF(ISNUMBER(SEARCH("TẶNG",VLOOKUP(E39,'Dự thu chiết khấu'!$L$3:$AW$226,38,0))),"TẶNG",""),"")</f>
        <v/>
      </c>
      <c r="AC39" s="49">
        <f t="shared" si="5"/>
        <v>9192027.4545454532</v>
      </c>
      <c r="AD39" s="11">
        <f>IFERROR(VLOOKUP(E39,'Dự thu chiết khấu'!$L$3:$AM$226,28,0),0)</f>
        <v>0</v>
      </c>
      <c r="AE39" s="11">
        <f>IFERROR(VLOOKUP(E39,'Dự thu chiết khấu'!$L$3:$AN$226,29,0),0)</f>
        <v>0</v>
      </c>
      <c r="AF39" s="11">
        <f>IFERROR(VLOOKUP(E39,'Dự thu chiết khấu'!$L$3:$AO$226,30,0),0)</f>
        <v>0</v>
      </c>
    </row>
    <row r="40" spans="1:32">
      <c r="A40">
        <v>34</v>
      </c>
      <c r="B40" t="str">
        <f>IFERROR(INDEX('Dự thu chiết khấu'!$E:$E,MATCH(E40,'Dự thu chiết khấu'!$L:$L,0)),"")</f>
        <v>Phạm Anh Kiệt</v>
      </c>
      <c r="C40" s="51" t="str">
        <f>IFERROR(INDEX('Dự thu chiết khấu'!$F:$F,MATCH(E40,'Dự thu chiết khấu'!$L:$L,0)),"")</f>
        <v>NGUYỄN DUY THUẦN</v>
      </c>
      <c r="D40" s="4" t="str">
        <f>IFERROR(INDEX('Dự thu chiết khấu'!$H:$H,MATCH(E40,'Dự thu chiết khấu'!$L:$L,0)),"")</f>
        <v>VF 3</v>
      </c>
      <c r="E40" s="4" t="str">
        <f>'Dự thu chiết khấu'!L37</f>
        <v>RLNVBL9K3ST715634</v>
      </c>
      <c r="F40" s="5" t="s">
        <v>100</v>
      </c>
      <c r="G40" s="5" t="str" cm="1">
        <f t="array" ref="G40">IFERROR(INDEX('DT-GV'!$X$6:$X$213,MATCH(1,('DT-GV'!$H$6:$H$213=E40)*('DT-GV'!$R$6:$R$213&lt;&gt;0),0)),IFERROR(VLOOKUP(E40,'DT-GV'!$H$6:$X$213,17,0),""))</f>
        <v>LAKD</v>
      </c>
      <c r="H40" s="7" t="str">
        <f>VLOOKUP(E40,'Dự thu chiết khấu'!$L$3:$M$226,2,0)</f>
        <v>S11001</v>
      </c>
      <c r="I40">
        <v>1</v>
      </c>
      <c r="J40" s="11">
        <f>VLOOKUP(E40,'Dự thu chiết khấu'!$L$3:$P$226,5,0)</f>
        <v>310000000</v>
      </c>
      <c r="K40" s="12">
        <f t="shared" si="6"/>
        <v>18600000</v>
      </c>
      <c r="L40" s="12">
        <f t="shared" si="7"/>
        <v>0</v>
      </c>
      <c r="M40" s="13">
        <f>IFERROR(VLOOKUP(E40,'Dự thu chiết khấu'!$L$3:$R$226,7,0),0)</f>
        <v>0</v>
      </c>
      <c r="N40" s="14">
        <f>IFERROR(VLOOKUP(E40,'Dự thu chiết khấu'!$L$3:$S$226,8,0),0)</f>
        <v>0</v>
      </c>
      <c r="O40" s="11">
        <f>IF(IFERROR(VLOOKUP(E40,'Dự thu chiết khấu'!$L$3:$T$226,9,0),0)&gt;0,J40*$O$5,0)</f>
        <v>9300000</v>
      </c>
      <c r="P40" s="13">
        <f>IFERROR(VLOOKUP(E40,'Dự thu chiết khấu'!$L$3:$U$226,10,0),0)</f>
        <v>0</v>
      </c>
      <c r="Q40" s="12">
        <f>IFERROR(VLOOKUP(E40,'Dự thu chiết khấu'!$L$3:$V$226,11,0),0)</f>
        <v>18000000</v>
      </c>
      <c r="R40" s="12">
        <f>VLOOKUP($E40,'Dự thu chiết khấu'!$L$3:$W$226,12,0)</f>
        <v>0</v>
      </c>
      <c r="S40" s="12">
        <f t="shared" si="3"/>
        <v>240090909.09090906</v>
      </c>
      <c r="T40" s="11">
        <f t="shared" si="4"/>
        <v>9.0909063816070557E-2</v>
      </c>
      <c r="U40" s="15">
        <f>SUMIFS('DT-GV'!$N$6:$N$213,'DT-GV'!$H$6:$H$213,E40,'DT-GV'!$R$6:$R$213,"&lt;&gt;0")</f>
        <v>240090909</v>
      </c>
      <c r="V40" s="48">
        <f>SUMIFS('DT-GV'!$N$6:$N$213,'DT-GV'!$H$6:$H$213,E40,'DT-GV'!$R$6:$R$213,0)</f>
        <v>0</v>
      </c>
      <c r="W40" s="15">
        <f>-SUMIFS('DT-GV'!$R$6:$R$213,'DT-GV'!$H$6:$H$213,E40)</f>
        <v>-270545455</v>
      </c>
      <c r="X40" s="11">
        <f>IFERROR(VLOOKUP($E40,'Dự thu chiết khấu'!$L$3:$AK$226,26,0)/1.1,0)</f>
        <v>40058181.818181813</v>
      </c>
      <c r="Y40" s="11">
        <f>IFERROR(VLOOKUP($E40,'Dự thu chiết khấu'!$L$3:$BE$226,46,0)/1.1,0)</f>
        <v>0</v>
      </c>
      <c r="Z40" s="11">
        <f>-SUMIF('Lương năng suất'!$R$4:$R$208,E40,'Lương năng suất'!$AQ$4:$AQ$208)</f>
        <v>-8000000</v>
      </c>
      <c r="AA40" s="213" t="str">
        <f>IFERROR(IF(ISNUMBER(SEARCH("TẶNG",VLOOKUP(E40,'Dự thu chiết khấu'!$L$3:$AV$226,37,0))),"TẶNG",""),"")</f>
        <v/>
      </c>
      <c r="AB40" s="213" t="str">
        <f>IFERROR(IF(ISNUMBER(SEARCH("TẶNG",VLOOKUP(E40,'Dự thu chiết khấu'!$L$3:$AW$226,38,0))),"TẶNG",""),"")</f>
        <v/>
      </c>
      <c r="AC40" s="49">
        <f t="shared" si="5"/>
        <v>1603635.8181818128</v>
      </c>
      <c r="AD40" s="11">
        <f>IFERROR(VLOOKUP(E40,'Dự thu chiết khấu'!$L$3:$AM$226,28,0),0)</f>
        <v>0</v>
      </c>
      <c r="AE40" s="11">
        <f>IFERROR(VLOOKUP(E40,'Dự thu chiết khấu'!$L$3:$AN$226,29,0),0)</f>
        <v>0</v>
      </c>
      <c r="AF40" s="11">
        <f>IFERROR(VLOOKUP(E40,'Dự thu chiết khấu'!$L$3:$AO$226,30,0),0)</f>
        <v>0</v>
      </c>
    </row>
    <row r="41" spans="1:32">
      <c r="A41" s="11">
        <v>35</v>
      </c>
      <c r="B41" t="str">
        <f>IFERROR(INDEX('Dự thu chiết khấu'!$E:$E,MATCH(E41,'Dự thu chiết khấu'!$L:$L,0)),"")</f>
        <v>Nguyễn Hoàng Trọng Khang</v>
      </c>
      <c r="C41" s="51" t="str">
        <f>IFERROR(INDEX('Dự thu chiết khấu'!$F:$F,MATCH(E41,'Dự thu chiết khấu'!$L:$L,0)),"")</f>
        <v>TRÂN THỊ THU HƯỜNG</v>
      </c>
      <c r="D41" s="4" t="str">
        <f>IFERROR(INDEX('Dự thu chiết khấu'!$H:$H,MATCH(E41,'Dự thu chiết khấu'!$L:$L,0)),"")</f>
        <v>VF 3</v>
      </c>
      <c r="E41" s="4" t="str">
        <f>'Dự thu chiết khấu'!L38</f>
        <v>RLNVBL9K1TT701426</v>
      </c>
      <c r="F41" s="5" t="s">
        <v>100</v>
      </c>
      <c r="G41" s="5" t="str" cm="1">
        <f t="array" ref="G41">IFERROR(INDEX('DT-GV'!$X$6:$X$213,MATCH(1,('DT-GV'!$H$6:$H$213=E41)*('DT-GV'!$R$6:$R$213&lt;&gt;0),0)),IFERROR(VLOOKUP(E41,'DT-GV'!$H$6:$X$213,17,0),""))</f>
        <v>LAKD</v>
      </c>
      <c r="H41" s="8" t="str">
        <f>VLOOKUP(E41,'Dự thu chiết khấu'!$L$3:$M$226,2,0)</f>
        <v>S11001</v>
      </c>
      <c r="I41">
        <v>1</v>
      </c>
      <c r="J41" s="11">
        <f>VLOOKUP(E41,'Dự thu chiết khấu'!$L$3:$P$226,5,0)</f>
        <v>302000000</v>
      </c>
      <c r="K41" s="12">
        <f t="shared" si="6"/>
        <v>18120000</v>
      </c>
      <c r="L41" s="12">
        <f t="shared" si="7"/>
        <v>0</v>
      </c>
      <c r="M41" s="13">
        <f>IFERROR(VLOOKUP(E41,'Dự thu chiết khấu'!$L$3:$R$226,7,0),0)</f>
        <v>0</v>
      </c>
      <c r="N41" s="14">
        <f>IFERROR(VLOOKUP(E41,'Dự thu chiết khấu'!$L$3:$S$226,8,0),0)</f>
        <v>0</v>
      </c>
      <c r="O41" s="11">
        <f>IF(IFERROR(VLOOKUP(E41,'Dự thu chiết khấu'!$L$3:$T$226,9,0),0)&gt;0,J41*$O$5,0)</f>
        <v>0</v>
      </c>
      <c r="P41" s="13">
        <f>IFERROR(VLOOKUP(E41,'Dự thu chiết khấu'!$L$3:$U$226,10,0),0)</f>
        <v>0</v>
      </c>
      <c r="Q41" s="12">
        <f>IFERROR(VLOOKUP(E41,'Dự thu chiết khấu'!$L$3:$V$226,11,0),0)</f>
        <v>0</v>
      </c>
      <c r="R41" s="12">
        <f>VLOOKUP($E41,'Dự thu chiết khấu'!$L$3:$W$226,12,0)</f>
        <v>0</v>
      </c>
      <c r="S41" s="12">
        <f t="shared" si="3"/>
        <v>258072727.27272725</v>
      </c>
      <c r="T41" s="11">
        <f t="shared" si="4"/>
        <v>0.27272725105285645</v>
      </c>
      <c r="U41" s="15">
        <f>SUMIFS('DT-GV'!$N$6:$N$213,'DT-GV'!$H$6:$H$213,E41,'DT-GV'!$R$6:$R$213,"&lt;&gt;0")</f>
        <v>258072727</v>
      </c>
      <c r="V41" s="48">
        <f>SUMIFS('DT-GV'!$N$6:$N$213,'DT-GV'!$H$6:$H$213,E41,'DT-GV'!$R$6:$R$213,0)</f>
        <v>0</v>
      </c>
      <c r="W41" s="15">
        <f>-SUMIFS('DT-GV'!$R$6:$R$213,'DT-GV'!$H$6:$H$213,E41)</f>
        <v>-263563636</v>
      </c>
      <c r="X41" s="11">
        <f>IFERROR(VLOOKUP($E41,'Dự thu chiết khấu'!$L$3:$AK$226,26,0)/1.1,0)</f>
        <v>15813818.18181818</v>
      </c>
      <c r="Y41" s="11">
        <f>IFERROR(VLOOKUP($E41,'Dự thu chiết khấu'!$L$3:$BE$226,46,0)/1.1,0)</f>
        <v>0</v>
      </c>
      <c r="Z41" s="11">
        <f>-SUMIF('Lương năng suất'!$R$4:$R$208,E41,'Lương năng suất'!$AQ$4:$AQ$208)</f>
        <v>-4800000</v>
      </c>
      <c r="AA41" s="213" t="str">
        <f>IFERROR(IF(ISNUMBER(SEARCH("TẶNG",VLOOKUP(E41,'Dự thu chiết khấu'!$L$3:$AV$226,37,0))),"TẶNG",""),"")</f>
        <v/>
      </c>
      <c r="AB41" s="213" t="str">
        <f>IFERROR(IF(ISNUMBER(SEARCH("TẶNG",VLOOKUP(E41,'Dự thu chiết khấu'!$L$3:$AW$226,38,0))),"TẶNG",""),"")</f>
        <v/>
      </c>
      <c r="AC41" s="49">
        <f t="shared" si="5"/>
        <v>5522909.1818181798</v>
      </c>
      <c r="AD41" s="11">
        <f>IFERROR(VLOOKUP(E41,'Dự thu chiết khấu'!$L$3:$AM$226,28,0),0)</f>
        <v>0</v>
      </c>
      <c r="AE41" s="11">
        <f>IFERROR(VLOOKUP(E41,'Dự thu chiết khấu'!$L$3:$AN$226,29,0),0)</f>
        <v>0</v>
      </c>
      <c r="AF41" s="11">
        <f>IFERROR(VLOOKUP(E41,'Dự thu chiết khấu'!$L$3:$AO$226,30,0),0)</f>
        <v>0</v>
      </c>
    </row>
    <row r="42" spans="1:32">
      <c r="A42">
        <v>36</v>
      </c>
      <c r="B42" t="str">
        <f>IFERROR(INDEX('Dự thu chiết khấu'!$E:$E,MATCH(E42,'Dự thu chiết khấu'!$L:$L,0)),"")</f>
        <v>TRIỆU NGUYỄN TÚ HÀO</v>
      </c>
      <c r="C42" s="51" t="str">
        <f>IFERROR(INDEX('Dự thu chiết khấu'!$F:$F,MATCH(E42,'Dự thu chiết khấu'!$L:$L,0)),"")</f>
        <v>ĐỖ VIẾT VŨ</v>
      </c>
      <c r="D42" s="4" t="str">
        <f>IFERROR(INDEX('Dự thu chiết khấu'!$H:$H,MATCH(E42,'Dự thu chiết khấu'!$L:$L,0)),"")</f>
        <v>LIMO GREEN</v>
      </c>
      <c r="E42" s="4" t="str">
        <f>'Dự thu chiết khấu'!L39</f>
        <v>RLLVFPNTXTH742384</v>
      </c>
      <c r="F42" s="5" t="s">
        <v>122</v>
      </c>
      <c r="G42" s="5" t="str" cm="1">
        <f t="array" ref="G42">IFERROR(INDEX('DT-GV'!$X$6:$X$213,MATCH(1,('DT-GV'!$H$6:$H$213=E42)*('DT-GV'!$R$6:$R$213&lt;&gt;0),0)),IFERROR(VLOOKUP(E42,'DT-GV'!$H$6:$X$213,17,0),""))</f>
        <v>QTKD</v>
      </c>
      <c r="H42" s="6" t="str">
        <f>VLOOKUP(E42,'Dự thu chiết khấu'!$L$3:$M$226,2,0)</f>
        <v>S11007</v>
      </c>
      <c r="I42">
        <v>1</v>
      </c>
      <c r="J42" s="11">
        <f>VLOOKUP(E42,'Dự thu chiết khấu'!$L$3:$P$226,5,0)</f>
        <v>749000000</v>
      </c>
      <c r="K42" s="12">
        <f t="shared" si="6"/>
        <v>44940000</v>
      </c>
      <c r="L42" s="12">
        <f t="shared" si="7"/>
        <v>0</v>
      </c>
      <c r="M42" s="13">
        <f>IFERROR(VLOOKUP(E42,'Dự thu chiết khấu'!$L$3:$R$226,7,0),0)</f>
        <v>0</v>
      </c>
      <c r="N42" s="14">
        <f>IFERROR(VLOOKUP(E42,'Dự thu chiết khấu'!$L$3:$S$226,8,0),0)</f>
        <v>0</v>
      </c>
      <c r="O42" s="11">
        <f>IF(IFERROR(VLOOKUP(E42,'Dự thu chiết khấu'!$L$3:$T$226,9,0),0)&gt;0,J42*$O$5,0)</f>
        <v>0</v>
      </c>
      <c r="P42" s="13">
        <f>IFERROR(VLOOKUP(E42,'Dự thu chiết khấu'!$L$3:$U$226,10,0),0)</f>
        <v>0</v>
      </c>
      <c r="Q42" s="12">
        <f>IFERROR(VLOOKUP(E42,'Dự thu chiết khấu'!$L$3:$V$226,11,0),0)</f>
        <v>0</v>
      </c>
      <c r="R42" s="12">
        <f>VLOOKUP($E42,'Dự thu chiết khấu'!$L$3:$W$226,12,0)</f>
        <v>12000000</v>
      </c>
      <c r="S42" s="12">
        <f t="shared" si="3"/>
        <v>629145454.5454545</v>
      </c>
      <c r="T42" s="11">
        <f t="shared" si="4"/>
        <v>-0.45454549789428711</v>
      </c>
      <c r="U42" s="15">
        <f>SUMIFS('DT-GV'!$N$6:$N$213,'DT-GV'!$H$6:$H$213,E42,'DT-GV'!$R$6:$R$213,"&lt;&gt;0")</f>
        <v>629145455</v>
      </c>
      <c r="V42" s="48">
        <f>SUMIFS('DT-GV'!$N$6:$N$213,'DT-GV'!$H$6:$H$213,E42,'DT-GV'!$R$6:$R$213,0)</f>
        <v>0</v>
      </c>
      <c r="W42" s="15">
        <f>-SUMIFS('DT-GV'!$R$6:$R$213,'DT-GV'!$H$6:$H$213,E42)</f>
        <v>-653672727</v>
      </c>
      <c r="X42" s="11">
        <f>IFERROR(VLOOKUP($E42,'Dự thu chiết khấu'!$L$3:$AK$226,26,0)/1.1,0)</f>
        <v>39220363.636363633</v>
      </c>
      <c r="Y42" s="11">
        <f>IFERROR(VLOOKUP($E42,'Dự thu chiết khấu'!$L$3:$BE$226,46,0)/1.1,0)</f>
        <v>6400545.4545454541</v>
      </c>
      <c r="Z42" s="11">
        <f>-SUMIF('Lương năng suất'!$R$4:$R$208,E42,'Lương năng suất'!$AQ$4:$AQ$208)</f>
        <v>-5600000</v>
      </c>
      <c r="AA42" s="213" t="str">
        <f>IFERROR(IF(ISNUMBER(SEARCH("TẶNG",VLOOKUP(E42,'Dự thu chiết khấu'!$L$3:$AV$226,37,0))),"TẶNG",""),"")</f>
        <v/>
      </c>
      <c r="AB42" s="213" t="str">
        <f>IFERROR(IF(ISNUMBER(SEARCH("TẶNG",VLOOKUP(E42,'Dự thu chiết khấu'!$L$3:$AW$226,38,0))),"TẶNG",""),"")</f>
        <v/>
      </c>
      <c r="AC42" s="49">
        <f t="shared" si="5"/>
        <v>15493637.090909086</v>
      </c>
      <c r="AD42" s="11">
        <f>IFERROR(VLOOKUP(E42,'Dự thu chiết khấu'!$L$3:$AM$226,28,0),0)</f>
        <v>0</v>
      </c>
      <c r="AE42" s="11">
        <f>IFERROR(VLOOKUP(E42,'Dự thu chiết khấu'!$L$3:$AN$226,29,0),0)</f>
        <v>0</v>
      </c>
      <c r="AF42" s="11">
        <f>IFERROR(VLOOKUP(E42,'Dự thu chiết khấu'!$L$3:$AO$226,30,0),0)</f>
        <v>10000000</v>
      </c>
    </row>
    <row r="43" spans="1:32">
      <c r="A43" s="11">
        <v>37</v>
      </c>
      <c r="B43" t="str">
        <f>IFERROR(INDEX('Dự thu chiết khấu'!$E:$E,MATCH(E43,'Dự thu chiết khấu'!$L:$L,0)),"")</f>
        <v>TRẦN ĐẶNG ANH HUY</v>
      </c>
      <c r="C43" s="51" t="str">
        <f>IFERROR(INDEX('Dự thu chiết khấu'!$F:$F,MATCH(E43,'Dự thu chiết khấu'!$L:$L,0)),"")</f>
        <v>HUỲNH NGỌC BẢO</v>
      </c>
      <c r="D43" s="4" t="str">
        <f>IFERROR(INDEX('Dự thu chiết khấu'!$H:$H,MATCH(E43,'Dự thu chiết khấu'!$L:$L,0)),"")</f>
        <v>EC VAN</v>
      </c>
      <c r="E43" s="4" t="str">
        <f>'Dự thu chiết khấu'!L40</f>
        <v>RNXVGRPK4TT712487</v>
      </c>
      <c r="F43" s="5" t="s">
        <v>122</v>
      </c>
      <c r="G43" s="5" t="str" cm="1">
        <f t="array" ref="G43">IFERROR(INDEX('DT-GV'!$X$6:$X$213,MATCH(1,('DT-GV'!$H$6:$H$213=E43)*('DT-GV'!$R$6:$R$213&lt;&gt;0),0)),IFERROR(VLOOKUP(E43,'DT-GV'!$H$6:$X$213,17,0),""))</f>
        <v>QTKD</v>
      </c>
      <c r="H43" s="6" t="str">
        <f>VLOOKUP(E43,'Dự thu chiết khấu'!$L$3:$M$226,2,0)</f>
        <v>S11007</v>
      </c>
      <c r="I43">
        <v>1</v>
      </c>
      <c r="J43" s="11">
        <f>VLOOKUP(E43,'Dự thu chiết khấu'!$L$3:$P$226,5,0)</f>
        <v>305000000</v>
      </c>
      <c r="K43" s="12">
        <f t="shared" si="6"/>
        <v>18300000</v>
      </c>
      <c r="L43" s="12">
        <f t="shared" si="7"/>
        <v>0</v>
      </c>
      <c r="M43" s="13">
        <f>IFERROR(VLOOKUP(E43,'Dự thu chiết khấu'!$L$3:$R$226,7,0),0)</f>
        <v>0</v>
      </c>
      <c r="N43" s="14">
        <f>IFERROR(VLOOKUP(E43,'Dự thu chiết khấu'!$L$3:$S$226,8,0),0)</f>
        <v>0</v>
      </c>
      <c r="O43" s="11">
        <f>IF(IFERROR(VLOOKUP(E43,'Dự thu chiết khấu'!$L$3:$T$226,9,0),0)&gt;0,J43*$O$5,0)</f>
        <v>0</v>
      </c>
      <c r="P43" s="13">
        <f>IFERROR(VLOOKUP(E43,'Dự thu chiết khấu'!$L$3:$U$226,10,0),0)</f>
        <v>0</v>
      </c>
      <c r="Q43" s="12">
        <f>IFERROR(VLOOKUP(E43,'Dự thu chiết khấu'!$L$3:$V$226,11,0),0)</f>
        <v>0</v>
      </c>
      <c r="R43" s="12">
        <f>VLOOKUP($E43,'Dự thu chiết khấu'!$L$3:$W$226,12,0)</f>
        <v>0</v>
      </c>
      <c r="S43" s="12">
        <f t="shared" si="3"/>
        <v>260636363.63636363</v>
      </c>
      <c r="T43" s="11">
        <f t="shared" si="4"/>
        <v>0.63636362552642822</v>
      </c>
      <c r="U43" s="15">
        <f>SUMIFS('DT-GV'!$N$6:$N$213,'DT-GV'!$H$6:$H$213,E43,'DT-GV'!$R$6:$R$213,"&lt;&gt;0")</f>
        <v>255181818</v>
      </c>
      <c r="V43" s="48">
        <f>SUMIFS('DT-GV'!$N$6:$N$213,'DT-GV'!$H$6:$H$213,E43,'DT-GV'!$R$6:$R$213,0)</f>
        <v>5454545</v>
      </c>
      <c r="W43" s="15">
        <f>-SUMIFS('DT-GV'!$R$6:$R$213,'DT-GV'!$H$6:$H$213,E43)</f>
        <v>-266181818</v>
      </c>
      <c r="X43" s="11">
        <f>IFERROR(VLOOKUP($E43,'Dự thu chiết khấu'!$L$3:$AK$226,26,0)/1.1,0)</f>
        <v>15970909.09090909</v>
      </c>
      <c r="Y43" s="11">
        <f>IFERROR(VLOOKUP($E43,'Dự thu chiết khấu'!$L$3:$BE$226,46,0)/1.1,0)</f>
        <v>2606363.6363636362</v>
      </c>
      <c r="Z43" s="11">
        <f>-SUMIF('Lương năng suất'!$R$4:$R$208,E43,'Lương năng suất'!$AQ$4:$AQ$208)</f>
        <v>-4500000</v>
      </c>
      <c r="AA43" s="213" t="str">
        <f>IFERROR(IF(ISNUMBER(SEARCH("TẶNG",VLOOKUP(E43,'Dự thu chiết khấu'!$L$3:$AV$226,37,0))),"TẶNG",""),"")</f>
        <v/>
      </c>
      <c r="AB43" s="213" t="str">
        <f>IFERROR(IF(ISNUMBER(SEARCH("TẶNG",VLOOKUP(E43,'Dự thu chiết khấu'!$L$3:$AW$226,38,0))),"TẶNG",""),"")</f>
        <v/>
      </c>
      <c r="AC43" s="49">
        <f t="shared" si="5"/>
        <v>8531817.7272727266</v>
      </c>
      <c r="AD43" s="11">
        <f>IFERROR(VLOOKUP(E43,'Dự thu chiết khấu'!$L$3:$AM$226,28,0),0)</f>
        <v>0</v>
      </c>
      <c r="AE43" s="11">
        <f>IFERROR(VLOOKUP(E43,'Dự thu chiết khấu'!$L$3:$AN$226,29,0),0)</f>
        <v>0</v>
      </c>
      <c r="AF43" s="11">
        <f>IFERROR(VLOOKUP(E43,'Dự thu chiết khấu'!$L$3:$AO$226,30,0),0)</f>
        <v>5000000</v>
      </c>
    </row>
    <row r="44" spans="1:32">
      <c r="A44">
        <v>38</v>
      </c>
      <c r="B44" t="str">
        <f>IFERROR(INDEX('Dự thu chiết khấu'!$E:$E,MATCH(E44,'Dự thu chiết khấu'!$L:$L,0)),"")</f>
        <v>NGUYỄN HUỲNH DUY KHAN</v>
      </c>
      <c r="C44" s="51" t="str">
        <f>IFERROR(INDEX('Dự thu chiết khấu'!$F:$F,MATCH(E44,'Dự thu chiết khấu'!$L:$L,0)),"")</f>
        <v>NGUYỄN VĂN THANH</v>
      </c>
      <c r="D44" s="4" t="str">
        <f>IFERROR(INDEX('Dự thu chiết khấu'!$H:$H,MATCH(E44,'Dự thu chiết khấu'!$L:$L,0)),"")</f>
        <v>LIMO GREEN</v>
      </c>
      <c r="E44" s="4" t="str">
        <f>'Dự thu chiết khấu'!L41</f>
        <v>RLLVFPNT0TH720314</v>
      </c>
      <c r="F44" s="5" t="s">
        <v>122</v>
      </c>
      <c r="G44" s="5" t="str" cm="1">
        <f t="array" ref="G44">IFERROR(INDEX('DT-GV'!$X$6:$X$213,MATCH(1,('DT-GV'!$H$6:$H$213=E44)*('DT-GV'!$R$6:$R$213&lt;&gt;0),0)),IFERROR(VLOOKUP(E44,'DT-GV'!$H$6:$X$213,17,0),""))</f>
        <v>QTKD</v>
      </c>
      <c r="H44" s="6" t="str">
        <f>VLOOKUP(E44,'Dự thu chiết khấu'!$L$3:$M$226,2,0)</f>
        <v>S11007</v>
      </c>
      <c r="I44">
        <v>1</v>
      </c>
      <c r="J44" s="11">
        <f>VLOOKUP(E44,'Dự thu chiết khấu'!$L$3:$P$226,5,0)</f>
        <v>749000000</v>
      </c>
      <c r="K44" s="12">
        <f t="shared" si="6"/>
        <v>44940000</v>
      </c>
      <c r="L44" s="12">
        <f t="shared" si="7"/>
        <v>0</v>
      </c>
      <c r="M44" s="13">
        <f>IFERROR(VLOOKUP(E44,'Dự thu chiết khấu'!$L$3:$R$226,7,0),0)</f>
        <v>0</v>
      </c>
      <c r="N44" s="14">
        <f>IFERROR(VLOOKUP(E44,'Dự thu chiết khấu'!$L$3:$S$226,8,0),0)</f>
        <v>0</v>
      </c>
      <c r="O44" s="11">
        <f>IF(IFERROR(VLOOKUP(E44,'Dự thu chiết khấu'!$L$3:$T$226,9,0),0)&gt;0,J44*$O$5,0)</f>
        <v>0</v>
      </c>
      <c r="P44" s="13">
        <f>IFERROR(VLOOKUP(E44,'Dự thu chiết khấu'!$L$3:$U$226,10,0),0)</f>
        <v>0</v>
      </c>
      <c r="Q44" s="12">
        <f>IFERROR(VLOOKUP(E44,'Dự thu chiết khấu'!$L$3:$V$226,11,0),0)</f>
        <v>0</v>
      </c>
      <c r="R44" s="12">
        <f>VLOOKUP($E44,'Dự thu chiết khấu'!$L$3:$W$226,12,0)</f>
        <v>0</v>
      </c>
      <c r="S44" s="12">
        <f t="shared" si="3"/>
        <v>640054545.45454538</v>
      </c>
      <c r="T44" s="11">
        <f t="shared" si="4"/>
        <v>-0.54545462131500244</v>
      </c>
      <c r="U44" s="15">
        <f>SUMIFS('DT-GV'!$N$6:$N$213,'DT-GV'!$H$6:$H$213,E44,'DT-GV'!$R$6:$R$213,"&lt;&gt;0")</f>
        <v>629145455</v>
      </c>
      <c r="V44" s="48">
        <f>SUMIFS('DT-GV'!$N$6:$N$213,'DT-GV'!$H$6:$H$213,E44,'DT-GV'!$R$6:$R$213,0)</f>
        <v>10909091</v>
      </c>
      <c r="W44" s="15">
        <f>-SUMIFS('DT-GV'!$R$6:$R$213,'DT-GV'!$H$6:$H$213,E44)</f>
        <v>-653672727</v>
      </c>
      <c r="X44" s="11">
        <f>IFERROR(VLOOKUP($E44,'Dự thu chiết khấu'!$L$3:$AK$226,26,0)/1.1,0)</f>
        <v>39220363.636363633</v>
      </c>
      <c r="Y44" s="11">
        <f>IFERROR(VLOOKUP($E44,'Dự thu chiết khấu'!$L$3:$BE$226,46,0)/1.1,0)</f>
        <v>6400545.4545454541</v>
      </c>
      <c r="Z44" s="11">
        <f>-SUMIF('Lương năng suất'!$R$4:$R$208,E44,'Lương năng suất'!$AQ$4:$AQ$208)</f>
        <v>-18200000</v>
      </c>
      <c r="AA44" s="213" t="str">
        <f>IFERROR(IF(ISNUMBER(SEARCH("TẶNG",VLOOKUP(E44,'Dự thu chiết khấu'!$L$3:$AV$226,37,0))),"TẶNG",""),"")</f>
        <v/>
      </c>
      <c r="AB44" s="213" t="str">
        <f>IFERROR(IF(ISNUMBER(SEARCH("TẶNG",VLOOKUP(E44,'Dự thu chiết khấu'!$L$3:$AW$226,38,0))),"TẶNG",""),"")</f>
        <v/>
      </c>
      <c r="AC44" s="49">
        <f t="shared" si="5"/>
        <v>13802728.090909086</v>
      </c>
      <c r="AD44" s="11">
        <f>IFERROR(VLOOKUP(E44,'Dự thu chiết khấu'!$L$3:$AM$226,28,0),0)</f>
        <v>0</v>
      </c>
      <c r="AE44" s="11">
        <f>IFERROR(VLOOKUP(E44,'Dự thu chiết khấu'!$L$3:$AN$226,29,0),0)</f>
        <v>0</v>
      </c>
      <c r="AF44" s="11">
        <f>IFERROR(VLOOKUP(E44,'Dự thu chiết khấu'!$L$3:$AO$226,30,0),0)</f>
        <v>10000000</v>
      </c>
    </row>
    <row r="45" spans="1:32" ht="23">
      <c r="A45" s="11">
        <v>39</v>
      </c>
      <c r="B45" t="str">
        <f>IFERROR(INDEX('Dự thu chiết khấu'!$E:$E,MATCH(E45,'Dự thu chiết khấu'!$L:$L,0)),"")</f>
        <v>VŨ THỊ BÍCH HẰNG</v>
      </c>
      <c r="C45" s="51" t="str">
        <f>IFERROR(INDEX('Dự thu chiết khấu'!$F:$F,MATCH(E45,'Dự thu chiết khấu'!$L:$L,0)),"")</f>
        <v>NGUYỄN THANH NỮ TRÀ MY</v>
      </c>
      <c r="D45" s="4" t="str">
        <f>IFERROR(INDEX('Dự thu chiết khấu'!$H:$H,MATCH(E45,'Dự thu chiết khấu'!$L:$L,0)),"")</f>
        <v>VF 7</v>
      </c>
      <c r="E45" s="4" t="str">
        <f>'Dự thu chiết khấu'!L42</f>
        <v>RLLV3F5D1SH888618</v>
      </c>
      <c r="F45" s="5" t="s">
        <v>104</v>
      </c>
      <c r="G45" s="5" t="str" cm="1">
        <f t="array" ref="G45">IFERROR(INDEX('DT-GV'!$X$6:$X$213,MATCH(1,('DT-GV'!$H$6:$H$213=E45)*('DT-GV'!$R$6:$R$213&lt;&gt;0),0)),IFERROR(VLOOKUP(E45,'DT-GV'!$H$6:$X$213,17,0),""))</f>
        <v>SLKD</v>
      </c>
      <c r="H45" s="6" t="str">
        <f>VLOOKUP(E45,'Dự thu chiết khấu'!$L$3:$M$226,2,0)</f>
        <v>S11001</v>
      </c>
      <c r="I45">
        <v>1</v>
      </c>
      <c r="J45" s="11">
        <f>VLOOKUP(E45,'Dự thu chiết khấu'!$L$3:$P$226,5,0)</f>
        <v>799000000</v>
      </c>
      <c r="K45" s="12">
        <f t="shared" si="6"/>
        <v>47940000</v>
      </c>
      <c r="L45" s="12">
        <f t="shared" si="7"/>
        <v>0</v>
      </c>
      <c r="M45" s="13">
        <f>IFERROR(VLOOKUP(E45,'Dự thu chiết khấu'!$L$3:$R$226,7,0),0)</f>
        <v>0</v>
      </c>
      <c r="N45" s="14">
        <f>IFERROR(VLOOKUP(E45,'Dự thu chiết khấu'!$L$3:$S$226,8,0),0)</f>
        <v>0</v>
      </c>
      <c r="O45" s="11">
        <f>IF(IFERROR(VLOOKUP(E45,'Dự thu chiết khấu'!$L$3:$T$226,9,0),0)&gt;0,J45*$O$5,0)</f>
        <v>23970000</v>
      </c>
      <c r="P45" s="13">
        <f>IFERROR(VLOOKUP(E45,'Dự thu chiết khấu'!$L$3:$U$226,10,0),0)</f>
        <v>0.05</v>
      </c>
      <c r="Q45" s="12">
        <f>IFERROR(VLOOKUP(E45,'Dự thu chiết khấu'!$L$3:$V$226,11,0),0)</f>
        <v>20000000</v>
      </c>
      <c r="R45" s="12">
        <f>VLOOKUP($E45,'Dự thu chiết khấu'!$L$3:$W$226,12,0)</f>
        <v>5000000</v>
      </c>
      <c r="S45" s="12">
        <f t="shared" si="3"/>
        <v>601945454.5454545</v>
      </c>
      <c r="T45" s="11">
        <f t="shared" si="4"/>
        <v>-0.45454549789428711</v>
      </c>
      <c r="U45" s="15">
        <f>SUMIFS('DT-GV'!$N$6:$N$213,'DT-GV'!$H$6:$H$213,E45,'DT-GV'!$R$6:$R$213,"&lt;&gt;0")</f>
        <v>601945455</v>
      </c>
      <c r="V45" s="48">
        <f>SUMIFS('DT-GV'!$N$6:$N$213,'DT-GV'!$H$6:$H$213,E45,'DT-GV'!$R$6:$R$213,0)</f>
        <v>0</v>
      </c>
      <c r="W45" s="15">
        <f>-SUMIFS('DT-GV'!$R$6:$R$213,'DT-GV'!$H$6:$H$213,E45)</f>
        <v>-693677273</v>
      </c>
      <c r="X45" s="11">
        <f>IFERROR(VLOOKUP($E45,'Dự thu chiết khấu'!$L$3:$AK$226,26,0)/1.1,0)</f>
        <v>96319363.636363626</v>
      </c>
      <c r="Y45" s="11">
        <f>IFERROR(VLOOKUP($E45,'Dự thu chiết khấu'!$L$3:$BE$226,46,0)/1.1,0)</f>
        <v>0</v>
      </c>
      <c r="Z45" s="11">
        <f>-SUMIF('Lương năng suất'!$R$4:$R$208,E45,'Lương năng suất'!$AQ$4:$AQ$208)</f>
        <v>-7200000</v>
      </c>
      <c r="AA45" s="213" t="str">
        <f>IFERROR(IF(ISNUMBER(SEARCH("TẶNG",VLOOKUP(E45,'Dự thu chiết khấu'!$L$3:$AV$226,37,0))),"TẶNG",""),"")</f>
        <v/>
      </c>
      <c r="AB45" s="213" t="str">
        <f>IFERROR(IF(ISNUMBER(SEARCH("TẶNG",VLOOKUP(E45,'Dự thu chiết khấu'!$L$3:$AW$226,38,0))),"TẶNG",""),"")</f>
        <v/>
      </c>
      <c r="AC45" s="49">
        <f t="shared" si="5"/>
        <v>-2612454.3636363745</v>
      </c>
      <c r="AD45" s="11">
        <f>IFERROR(VLOOKUP(E45,'Dự thu chiết khấu'!$L$3:$AM$226,28,0),0)</f>
        <v>0</v>
      </c>
      <c r="AE45" s="11">
        <f>IFERROR(VLOOKUP(E45,'Dự thu chiết khấu'!$L$3:$AN$226,29,0),0)</f>
        <v>0</v>
      </c>
      <c r="AF45" s="11">
        <f>IFERROR(VLOOKUP(E45,'Dự thu chiết khấu'!$L$3:$AO$226,30,0),0)</f>
        <v>0</v>
      </c>
    </row>
    <row r="46" spans="1:32">
      <c r="A46">
        <v>40</v>
      </c>
      <c r="B46" t="str">
        <f>IFERROR(INDEX('Dự thu chiết khấu'!$E:$E,MATCH(E46,'Dự thu chiết khấu'!$L:$L,0)),"")</f>
        <v>TỪ NỮ BÉ MI</v>
      </c>
      <c r="C46" s="51" t="str">
        <f>IFERROR(INDEX('Dự thu chiết khấu'!$F:$F,MATCH(E46,'Dự thu chiết khấu'!$L:$L,0)),"")</f>
        <v>TRẦN THANH TÂN</v>
      </c>
      <c r="D46" s="4" t="str">
        <f>IFERROR(INDEX('Dự thu chiết khấu'!$H:$H,MATCH(E46,'Dự thu chiết khấu'!$L:$L,0)),"")</f>
        <v>VF 7</v>
      </c>
      <c r="E46" s="4" t="str">
        <f>'Dự thu chiết khấu'!L43</f>
        <v>RLLV3FKC6TH742051</v>
      </c>
      <c r="F46" s="5" t="s">
        <v>104</v>
      </c>
      <c r="G46" s="5" t="str" cm="1">
        <f t="array" ref="G46">IFERROR(INDEX('DT-GV'!$X$6:$X$213,MATCH(1,('DT-GV'!$H$6:$H$213=E46)*('DT-GV'!$R$6:$R$213&lt;&gt;0),0)),IFERROR(VLOOKUP(E46,'DT-GV'!$H$6:$X$213,17,0),""))</f>
        <v>SLKD</v>
      </c>
      <c r="H46" s="6" t="str">
        <f>VLOOKUP(E46,'Dự thu chiết khấu'!$L$3:$M$226,2,0)</f>
        <v>S11007</v>
      </c>
      <c r="I46">
        <v>1</v>
      </c>
      <c r="J46" s="11">
        <f>VLOOKUP(E46,'Dự thu chiết khấu'!$L$3:$P$226,5,0)</f>
        <v>889000000</v>
      </c>
      <c r="K46" s="12">
        <f t="shared" si="6"/>
        <v>53340000</v>
      </c>
      <c r="L46" s="12">
        <f t="shared" si="7"/>
        <v>0</v>
      </c>
      <c r="M46" s="13">
        <f>IFERROR(VLOOKUP(E46,'Dự thu chiết khấu'!$L$3:$R$226,7,0),0)</f>
        <v>0</v>
      </c>
      <c r="N46" s="14">
        <f>IFERROR(VLOOKUP(E46,'Dự thu chiết khấu'!$L$3:$S$226,8,0),0)</f>
        <v>0</v>
      </c>
      <c r="O46" s="11">
        <f>IF(IFERROR(VLOOKUP(E46,'Dự thu chiết khấu'!$L$3:$T$226,9,0),0)&gt;0,J46*$O$5,0)</f>
        <v>0</v>
      </c>
      <c r="P46" s="13">
        <f>IFERROR(VLOOKUP(E46,'Dự thu chiết khấu'!$L$3:$U$226,10,0),0)</f>
        <v>0.05</v>
      </c>
      <c r="Q46" s="12">
        <f>IFERROR(VLOOKUP(E46,'Dự thu chiết khấu'!$L$3:$V$226,11,0),0)</f>
        <v>0</v>
      </c>
      <c r="R46" s="12">
        <f>VLOOKUP($E46,'Dự thu chiết khấu'!$L$3:$W$226,12,0)</f>
        <v>0</v>
      </c>
      <c r="S46" s="12">
        <f t="shared" si="3"/>
        <v>719281818.18181813</v>
      </c>
      <c r="T46" s="11">
        <f t="shared" si="4"/>
        <v>0.18181812763214111</v>
      </c>
      <c r="U46" s="15">
        <f>SUMIFS('DT-GV'!$N$6:$N$213,'DT-GV'!$H$6:$H$213,E46,'DT-GV'!$R$6:$R$213,"&lt;&gt;0")</f>
        <v>719281818</v>
      </c>
      <c r="V46" s="48">
        <f>SUMIFS('DT-GV'!$N$6:$N$213,'DT-GV'!$H$6:$H$213,E46,'DT-GV'!$R$6:$R$213,0)</f>
        <v>0</v>
      </c>
      <c r="W46" s="15">
        <f>-SUMIFS('DT-GV'!$R$6:$R$213,'DT-GV'!$H$6:$H$213,E46)</f>
        <v>-771813636</v>
      </c>
      <c r="X46" s="11">
        <f>IFERROR(VLOOKUP($E46,'Dự thu chiết khấu'!$L$3:$AK$226,26,0)/1.1,0)</f>
        <v>64694954.545454539</v>
      </c>
      <c r="Y46" s="11">
        <f>IFERROR(VLOOKUP($E46,'Dự thu chiết khấu'!$L$3:$BE$226,46,0)/1.1,0)</f>
        <v>7192818.1818181816</v>
      </c>
      <c r="Z46" s="11">
        <f>-SUMIF('Lương năng suất'!$R$4:$R$208,E46,'Lương năng suất'!$AQ$4:$AQ$208)</f>
        <v>-11200000</v>
      </c>
      <c r="AA46" s="213" t="str">
        <f>IFERROR(IF(ISNUMBER(SEARCH("TẶNG",VLOOKUP(E46,'Dự thu chiết khấu'!$L$3:$AV$226,37,0))),"TẶNG",""),"")</f>
        <v/>
      </c>
      <c r="AB46" s="213" t="str">
        <f>IFERROR(IF(ISNUMBER(SEARCH("TẶNG",VLOOKUP(E46,'Dự thu chiết khấu'!$L$3:$AW$226,38,0))),"TẶNG",""),"")</f>
        <v/>
      </c>
      <c r="AC46" s="49">
        <f t="shared" si="5"/>
        <v>8155954.7272727191</v>
      </c>
      <c r="AD46" s="11">
        <f>IFERROR(VLOOKUP(E46,'Dự thu chiết khấu'!$L$3:$AM$226,28,0),0)</f>
        <v>0</v>
      </c>
      <c r="AE46" s="11">
        <f>IFERROR(VLOOKUP(E46,'Dự thu chiết khấu'!$L$3:$AN$226,29,0),0)</f>
        <v>0</v>
      </c>
      <c r="AF46" s="11">
        <f>IFERROR(VLOOKUP(E46,'Dự thu chiết khấu'!$L$3:$AO$226,30,0),0)</f>
        <v>0</v>
      </c>
    </row>
    <row r="47" spans="1:32">
      <c r="A47" s="11">
        <v>41</v>
      </c>
      <c r="B47" t="str">
        <f>IFERROR(INDEX('Dự thu chiết khấu'!$E:$E,MATCH(E47,'Dự thu chiết khấu'!$L:$L,0)),"")</f>
        <v>TRẦN ANH HOÀNG</v>
      </c>
      <c r="C47" s="51" t="str">
        <f>IFERROR(INDEX('Dự thu chiết khấu'!$F:$F,MATCH(E47,'Dự thu chiết khấu'!$L:$L,0)),"")</f>
        <v>TRẦN ANH HOÀNG</v>
      </c>
      <c r="D47" s="4" t="str">
        <f>IFERROR(INDEX('Dự thu chiết khấu'!$H:$H,MATCH(E47,'Dự thu chiết khấu'!$L:$L,0)),"")</f>
        <v>MPV 7</v>
      </c>
      <c r="E47" s="4" t="str">
        <f>'Dự thu chiết khấu'!L44</f>
        <v>RLLVFPTT1TH733771</v>
      </c>
      <c r="F47" s="5" t="s">
        <v>100</v>
      </c>
      <c r="G47" s="5" t="str" cm="1">
        <f t="array" ref="G47">IFERROR(INDEX('DT-GV'!$X$6:$X$213,MATCH(1,('DT-GV'!$H$6:$H$213=E47)*('DT-GV'!$R$6:$R$213&lt;&gt;0),0)),IFERROR(VLOOKUP(E47,'DT-GV'!$H$6:$X$213,17,0),""))</f>
        <v>LAKD</v>
      </c>
      <c r="H47" s="6" t="str">
        <f>VLOOKUP(E47,'Dự thu chiết khấu'!$L$3:$M$226,2,0)</f>
        <v>S11006</v>
      </c>
      <c r="I47">
        <v>1</v>
      </c>
      <c r="J47" s="11">
        <f>VLOOKUP(E47,'Dự thu chiết khấu'!$L$3:$P$226,5,0)</f>
        <v>819000000</v>
      </c>
      <c r="K47" s="12">
        <f t="shared" si="6"/>
        <v>49140000</v>
      </c>
      <c r="L47" s="12">
        <f t="shared" si="7"/>
        <v>0</v>
      </c>
      <c r="M47" s="13">
        <f>IFERROR(VLOOKUP(E47,'Dự thu chiết khấu'!$L$3:$R$226,7,0),0)</f>
        <v>0</v>
      </c>
      <c r="N47" s="14">
        <f>IFERROR(VLOOKUP(E47,'Dự thu chiết khấu'!$L$3:$S$226,8,0),0)</f>
        <v>0</v>
      </c>
      <c r="O47" s="11">
        <f>IF(IFERROR(VLOOKUP(E47,'Dự thu chiết khấu'!$L$3:$T$226,9,0),0)&gt;0,J47*$O$5,0)</f>
        <v>0</v>
      </c>
      <c r="P47" s="13">
        <f>IFERROR(VLOOKUP(E47,'Dự thu chiết khấu'!$L$3:$U$226,10,0),0)</f>
        <v>0.03</v>
      </c>
      <c r="Q47" s="12">
        <f>IFERROR(VLOOKUP(E47,'Dự thu chiết khấu'!$L$3:$V$226,11,0),0)</f>
        <v>0</v>
      </c>
      <c r="R47" s="12">
        <f>VLOOKUP($E47,'Dự thu chiết khấu'!$L$3:$W$226,12,0)</f>
        <v>10000000</v>
      </c>
      <c r="S47" s="12">
        <f t="shared" si="3"/>
        <v>668445454.5454545</v>
      </c>
      <c r="T47" s="11">
        <f t="shared" si="4"/>
        <v>-0.45454549789428711</v>
      </c>
      <c r="U47" s="15">
        <f>SUMIFS('DT-GV'!$N$6:$N$213,'DT-GV'!$H$6:$H$213,E47,'DT-GV'!$R$6:$R$213,"&lt;&gt;0")</f>
        <v>668445455</v>
      </c>
      <c r="V47" s="48">
        <f>SUMIFS('DT-GV'!$N$6:$N$213,'DT-GV'!$H$6:$H$213,E47,'DT-GV'!$R$6:$R$213,0)</f>
        <v>0</v>
      </c>
      <c r="W47" s="15">
        <f>-SUMIFS('DT-GV'!$R$6:$R$213,'DT-GV'!$H$6:$H$213,E47)</f>
        <v>-714763636</v>
      </c>
      <c r="X47" s="11">
        <f>IFERROR(VLOOKUP($E47,'Dự thu chiết khấu'!$L$3:$AK$226,26,0)/1.1,0)</f>
        <v>53160545.454545453</v>
      </c>
      <c r="Y47" s="11">
        <f>IFERROR(VLOOKUP($E47,'Dự thu chiết khấu'!$L$3:$BE$226,46,0)/1.1,0)</f>
        <v>0</v>
      </c>
      <c r="Z47" s="11">
        <f>-SUMIF('Lương năng suất'!$R$4:$R$208,E47,'Lương năng suất'!$AQ$4:$AQ$208)</f>
        <v>0</v>
      </c>
      <c r="AA47" s="213" t="str">
        <f>IFERROR(IF(ISNUMBER(SEARCH("TẶNG",VLOOKUP(E47,'Dự thu chiết khấu'!$L$3:$AV$226,37,0))),"TẶNG",""),"")</f>
        <v/>
      </c>
      <c r="AB47" s="213" t="str">
        <f>IFERROR(IF(ISNUMBER(SEARCH("TẶNG",VLOOKUP(E47,'Dự thu chiết khấu'!$L$3:$AW$226,38,0))),"TẶNG",""),"")</f>
        <v/>
      </c>
      <c r="AC47" s="49">
        <f t="shared" si="5"/>
        <v>6842364.4545454532</v>
      </c>
      <c r="AD47" s="11">
        <f>IFERROR(VLOOKUP(E47,'Dự thu chiết khấu'!$L$3:$AM$226,28,0),0)</f>
        <v>0</v>
      </c>
      <c r="AE47" s="11">
        <f>IFERROR(VLOOKUP(E47,'Dự thu chiết khấu'!$L$3:$AN$226,29,0),0)</f>
        <v>15000000</v>
      </c>
      <c r="AF47" s="11">
        <f>IFERROR(VLOOKUP(E47,'Dự thu chiết khấu'!$L$3:$AO$226,30,0),0)</f>
        <v>0</v>
      </c>
    </row>
    <row r="48" spans="1:32">
      <c r="A48">
        <v>42</v>
      </c>
      <c r="B48" t="str">
        <f>IFERROR(INDEX('Dự thu chiết khấu'!$E:$E,MATCH(E48,'Dự thu chiết khấu'!$L:$L,0)),"")</f>
        <v>Cao Văn Công</v>
      </c>
      <c r="C48" s="51" t="str">
        <f>IFERROR(INDEX('Dự thu chiết khấu'!$F:$F,MATCH(E48,'Dự thu chiết khấu'!$L:$L,0)),"")</f>
        <v>Nguyễn Thị Diễm Mi</v>
      </c>
      <c r="D48" s="4" t="str">
        <f>IFERROR(INDEX('Dự thu chiết khấu'!$H:$H,MATCH(E48,'Dự thu chiết khấu'!$L:$L,0)),"")</f>
        <v>VF 5</v>
      </c>
      <c r="E48" s="4" t="str">
        <f>'Dự thu chiết khấu'!L45</f>
        <v>RLNV5JSE1TH739581</v>
      </c>
      <c r="F48" s="5" t="s">
        <v>138</v>
      </c>
      <c r="G48" s="5" t="str" cm="1">
        <f t="array" ref="G48">IFERROR(INDEX('DT-GV'!$X$6:$X$213,MATCH(1,('DT-GV'!$H$6:$H$213=E48)*('DT-GV'!$R$6:$R$213&lt;&gt;0),0)),IFERROR(VLOOKUP(E48,'DT-GV'!$H$6:$X$213,17,0),""))</f>
        <v>Q9KD</v>
      </c>
      <c r="H48" s="8" t="str">
        <f>VLOOKUP(E48,'Dự thu chiết khấu'!$L$3:$M$226,2,0)</f>
        <v>S11007</v>
      </c>
      <c r="I48">
        <v>1</v>
      </c>
      <c r="J48" s="11">
        <f>VLOOKUP(E48,'Dự thu chiết khấu'!$L$3:$P$226,5,0)</f>
        <v>529000000</v>
      </c>
      <c r="K48" s="12">
        <f t="shared" si="6"/>
        <v>31740000</v>
      </c>
      <c r="L48" s="12">
        <f t="shared" si="7"/>
        <v>0</v>
      </c>
      <c r="M48" s="13">
        <f>IFERROR(VLOOKUP(E48,'Dự thu chiết khấu'!$L$3:$R$226,7,0),0)</f>
        <v>0</v>
      </c>
      <c r="N48" s="14">
        <f>IFERROR(VLOOKUP(E48,'Dự thu chiết khấu'!$L$3:$S$226,8,0),0)</f>
        <v>5.0000000000000001E-3</v>
      </c>
      <c r="O48" s="11">
        <f>IF(IFERROR(VLOOKUP(E48,'Dự thu chiết khấu'!$L$3:$T$226,9,0),0)&gt;0,J48*$O$5,0)</f>
        <v>15870000</v>
      </c>
      <c r="P48" s="13">
        <f>IFERROR(VLOOKUP(E48,'Dự thu chiết khấu'!$L$3:$U$226,10,0),0)</f>
        <v>0</v>
      </c>
      <c r="Q48" s="12">
        <f>IFERROR(VLOOKUP(E48,'Dự thu chiết khấu'!$L$3:$V$226,11,0),0)</f>
        <v>0</v>
      </c>
      <c r="R48" s="12">
        <f>VLOOKUP($E48,'Dự thu chiết khấu'!$L$3:$W$226,12,0)</f>
        <v>0</v>
      </c>
      <c r="S48" s="12">
        <f t="shared" si="3"/>
        <v>435470954.5454545</v>
      </c>
      <c r="T48" s="11">
        <f t="shared" si="4"/>
        <v>-0.45454549789428711</v>
      </c>
      <c r="U48" s="15">
        <f>SUMIFS('DT-GV'!$N$6:$N$213,'DT-GV'!$H$6:$H$213,E48,'DT-GV'!$R$6:$R$213,"&lt;&gt;0")</f>
        <v>435470955</v>
      </c>
      <c r="V48" s="48">
        <f>SUMIFS('DT-GV'!$N$6:$N$213,'DT-GV'!$H$6:$H$213,E48,'DT-GV'!$R$6:$R$213,0)</f>
        <v>0</v>
      </c>
      <c r="W48" s="15">
        <f>-SUMIFS('DT-GV'!$R$6:$R$213,'DT-GV'!$H$6:$H$213,E48)</f>
        <v>-461672727</v>
      </c>
      <c r="X48" s="11">
        <f>IFERROR(VLOOKUP($E48,'Dự thu chiết khấu'!$L$3:$AK$226,26,0)/1.1,0)</f>
        <v>43620610.909090906</v>
      </c>
      <c r="Y48" s="11">
        <f>IFERROR(VLOOKUP($E48,'Dự thu chiết khấu'!$L$3:$BE$226,46,0)/1.1,0)</f>
        <v>4354709.5454545449</v>
      </c>
      <c r="Z48" s="11">
        <f>-SUMIF('Lương năng suất'!$R$4:$R$208,E48,'Lương năng suất'!$AQ$4:$AQ$208)</f>
        <v>-16000000</v>
      </c>
      <c r="AA48" s="213" t="str">
        <f>IFERROR(IF(ISNUMBER(SEARCH("TẶNG",VLOOKUP(E48,'Dự thu chiết khấu'!$L$3:$AV$226,37,0))),"TẶNG",""),"")</f>
        <v/>
      </c>
      <c r="AB48" s="213" t="str">
        <f>IFERROR(IF(ISNUMBER(SEARCH("TẶNG",VLOOKUP(E48,'Dự thu chiết khấu'!$L$3:$AW$226,38,0))),"TẶNG",""),"")</f>
        <v/>
      </c>
      <c r="AC48" s="49">
        <f t="shared" si="5"/>
        <v>5773548.4545454532</v>
      </c>
      <c r="AD48" s="11">
        <f>IFERROR(VLOOKUP(E48,'Dự thu chiết khấu'!$L$3:$AM$226,28,0),0)</f>
        <v>0</v>
      </c>
      <c r="AE48" s="11">
        <f>IFERROR(VLOOKUP(E48,'Dự thu chiết khấu'!$L$3:$AN$226,29,0),0)</f>
        <v>0</v>
      </c>
      <c r="AF48" s="11">
        <f>IFERROR(VLOOKUP(E48,'Dự thu chiết khấu'!$L$3:$AO$226,30,0),0)</f>
        <v>7000000</v>
      </c>
    </row>
    <row r="49" spans="1:32">
      <c r="A49" s="11">
        <v>43</v>
      </c>
      <c r="B49" t="str">
        <f>IFERROR(INDEX('Dự thu chiết khấu'!$E:$E,MATCH(E49,'Dự thu chiết khấu'!$L:$L,0)),"")</f>
        <v>Phạm Nguyễn Hằng Ni</v>
      </c>
      <c r="C49" s="51" t="str">
        <f>IFERROR(INDEX('Dự thu chiết khấu'!$F:$F,MATCH(E49,'Dự thu chiết khấu'!$L:$L,0)),"")</f>
        <v>Đỗ Thị Hương</v>
      </c>
      <c r="D49" s="4" t="str">
        <f>IFERROR(INDEX('Dự thu chiết khấu'!$H:$H,MATCH(E49,'Dự thu chiết khấu'!$L:$L,0)),"")</f>
        <v>LIMO GREEN</v>
      </c>
      <c r="E49" s="4" t="str">
        <f>'Dự thu chiết khấu'!L46</f>
        <v>RLLVFPNT8SH874882</v>
      </c>
      <c r="F49" s="5" t="s">
        <v>138</v>
      </c>
      <c r="G49" s="5" t="str" cm="1">
        <f t="array" ref="G49">IFERROR(INDEX('DT-GV'!$X$6:$X$213,MATCH(1,('DT-GV'!$H$6:$H$213=E49)*('DT-GV'!$R$6:$R$213&lt;&gt;0),0)),IFERROR(VLOOKUP(E49,'DT-GV'!$H$6:$X$213,17,0),""))</f>
        <v>Q9KD</v>
      </c>
      <c r="H49" s="6" t="str">
        <f>VLOOKUP(E49,'Dự thu chiết khấu'!$L$3:$M$226,2,0)</f>
        <v>S11006</v>
      </c>
      <c r="I49">
        <v>1</v>
      </c>
      <c r="J49" s="11">
        <f>VLOOKUP(E49,'Dự thu chiết khấu'!$L$3:$P$226,5,0)</f>
        <v>749000000</v>
      </c>
      <c r="K49" s="12">
        <f t="shared" si="6"/>
        <v>0</v>
      </c>
      <c r="L49" s="12">
        <f t="shared" si="7"/>
        <v>0</v>
      </c>
      <c r="M49" s="13">
        <f>IFERROR(VLOOKUP(E49,'Dự thu chiết khấu'!$L$3:$R$226,7,0),0)</f>
        <v>7.0000000000000007E-2</v>
      </c>
      <c r="N49" s="14">
        <f>IFERROR(VLOOKUP(E49,'Dự thu chiết khấu'!$L$3:$S$226,8,0),0)</f>
        <v>0</v>
      </c>
      <c r="O49" s="11">
        <f>IF(IFERROR(VLOOKUP(E49,'Dự thu chiết khấu'!$L$3:$T$226,9,0),0)&gt;0,J49*$O$5,0)</f>
        <v>22470000</v>
      </c>
      <c r="P49" s="13">
        <f>IFERROR(VLOOKUP(E49,'Dự thu chiết khấu'!$L$3:$U$226,10,0),0)</f>
        <v>0</v>
      </c>
      <c r="Q49" s="12">
        <f>IFERROR(VLOOKUP(E49,'Dự thu chiết khấu'!$L$3:$V$226,11,0),0)</f>
        <v>15000000</v>
      </c>
      <c r="R49" s="12">
        <f>VLOOKUP($E49,'Dự thu chiết khấu'!$L$3:$W$226,12,0)</f>
        <v>8000000</v>
      </c>
      <c r="S49" s="12">
        <f t="shared" si="3"/>
        <v>639572727.27272725</v>
      </c>
      <c r="T49" s="11">
        <f t="shared" si="4"/>
        <v>0.27272725105285645</v>
      </c>
      <c r="U49" s="15">
        <f>SUMIFS('DT-GV'!$N$6:$N$213,'DT-GV'!$H$6:$H$213,E49,'DT-GV'!$R$6:$R$213,"&lt;&gt;0")</f>
        <v>639572727</v>
      </c>
      <c r="V49" s="48">
        <f>SUMIFS('DT-GV'!$N$6:$N$213,'DT-GV'!$H$6:$H$213,E49,'DT-GV'!$R$6:$R$213,0)</f>
        <v>0</v>
      </c>
      <c r="W49" s="15">
        <f>-SUMIFS('DT-GV'!$R$6:$R$213,'DT-GV'!$H$6:$H$213,E49)</f>
        <v>-660481818</v>
      </c>
      <c r="X49" s="11">
        <f>IFERROR(VLOOKUP($E49,'Dự thu chiết khấu'!$L$3:$AK$226,26,0)/1.1,0)</f>
        <v>39510181.818181813</v>
      </c>
      <c r="Y49" s="11">
        <f>IFERROR(VLOOKUP($E49,'Dự thu chiết khấu'!$L$3:$BE$226,46,0)/1.1,0)</f>
        <v>6468454.5454545449</v>
      </c>
      <c r="Z49" s="11">
        <f>-SUMIF('Lương năng suất'!$R$4:$R$208,E49,'Lương năng suất'!$AQ$4:$AQ$208)</f>
        <v>-8600000</v>
      </c>
      <c r="AA49" s="213" t="str">
        <f>IFERROR(IF(ISNUMBER(SEARCH("TẶNG",VLOOKUP(E49,'Dự thu chiết khấu'!$L$3:$AV$226,37,0))),"TẶNG",""),"")</f>
        <v/>
      </c>
      <c r="AB49" s="213" t="str">
        <f>IFERROR(IF(ISNUMBER(SEARCH("TẶNG",VLOOKUP(E49,'Dự thu chiết khấu'!$L$3:$AW$226,38,0))),"TẶNG",""),"")</f>
        <v/>
      </c>
      <c r="AC49" s="49">
        <f t="shared" si="5"/>
        <v>16469545.36363636</v>
      </c>
      <c r="AD49" s="11">
        <f>IFERROR(VLOOKUP(E49,'Dự thu chiết khấu'!$L$3:$AM$226,28,0),0)</f>
        <v>0</v>
      </c>
      <c r="AE49" s="11">
        <f>IFERROR(VLOOKUP(E49,'Dự thu chiết khấu'!$L$3:$AN$226,29,0),0)</f>
        <v>0</v>
      </c>
      <c r="AF49" s="11">
        <f>IFERROR(VLOOKUP(E49,'Dự thu chiết khấu'!$L$3:$AO$226,30,0),0)</f>
        <v>10000000</v>
      </c>
    </row>
    <row r="50" spans="1:32">
      <c r="A50">
        <v>44</v>
      </c>
      <c r="B50" t="str">
        <f>IFERROR(INDEX('Dự thu chiết khấu'!$E:$E,MATCH(E50,'Dự thu chiết khấu'!$L:$L,0)),"")</f>
        <v>Nguyễn Thị Phương Anh</v>
      </c>
      <c r="C50" s="51" t="str">
        <f>IFERROR(INDEX('Dự thu chiết khấu'!$F:$F,MATCH(E50,'Dự thu chiết khấu'!$L:$L,0)),"")</f>
        <v>Nguyễn Văn Năm</v>
      </c>
      <c r="D50" s="4" t="str">
        <f>IFERROR(INDEX('Dự thu chiết khấu'!$H:$H,MATCH(E50,'Dự thu chiết khấu'!$L:$L,0)),"")</f>
        <v>VF 3</v>
      </c>
      <c r="E50" s="4" t="str">
        <f>'Dự thu chiết khấu'!L47</f>
        <v>RLNVBL9K3ST715763</v>
      </c>
      <c r="F50" s="5" t="s">
        <v>138</v>
      </c>
      <c r="G50" s="5" t="str" cm="1">
        <f t="array" ref="G50">IFERROR(INDEX('DT-GV'!$X$6:$X$213,MATCH(1,('DT-GV'!$H$6:$H$213=E50)*('DT-GV'!$R$6:$R$213&lt;&gt;0),0)),IFERROR(VLOOKUP(E50,'DT-GV'!$H$6:$X$213,17,0),""))</f>
        <v>Q9KD</v>
      </c>
      <c r="H50" s="6" t="str">
        <f>VLOOKUP(E50,'Dự thu chiết khấu'!$L$3:$M$226,2,0)</f>
        <v>S11008</v>
      </c>
      <c r="I50">
        <v>1</v>
      </c>
      <c r="J50" s="11">
        <f>VLOOKUP(E50,'Dự thu chiết khấu'!$L$3:$P$226,5,0)</f>
        <v>310000000</v>
      </c>
      <c r="K50" s="12">
        <f t="shared" si="6"/>
        <v>18600000</v>
      </c>
      <c r="L50" s="12">
        <f t="shared" si="7"/>
        <v>0</v>
      </c>
      <c r="M50" s="13">
        <f>IFERROR(VLOOKUP(E50,'Dự thu chiết khấu'!$L$3:$R$226,7,0),0)</f>
        <v>0</v>
      </c>
      <c r="N50" s="14">
        <f>IFERROR(VLOOKUP(E50,'Dự thu chiết khấu'!$L$3:$S$226,8,0),0)</f>
        <v>0</v>
      </c>
      <c r="O50" s="11">
        <f>IF(IFERROR(VLOOKUP(E50,'Dự thu chiết khấu'!$L$3:$T$226,9,0),0)&gt;0,J50*$O$5,0)</f>
        <v>0</v>
      </c>
      <c r="P50" s="13">
        <f>IFERROR(VLOOKUP(E50,'Dự thu chiết khấu'!$L$3:$U$226,10,0),0)</f>
        <v>0</v>
      </c>
      <c r="Q50" s="12">
        <f>IFERROR(VLOOKUP(E50,'Dự thu chiết khấu'!$L$3:$V$226,11,0),0)</f>
        <v>18000000</v>
      </c>
      <c r="R50" s="12">
        <f>VLOOKUP($E50,'Dự thu chiết khấu'!$L$3:$W$226,12,0)</f>
        <v>0</v>
      </c>
      <c r="S50" s="12">
        <f t="shared" si="3"/>
        <v>248545454.54545453</v>
      </c>
      <c r="T50" s="11">
        <f t="shared" si="4"/>
        <v>-0.45454546809196472</v>
      </c>
      <c r="U50" s="15">
        <f>SUMIFS('DT-GV'!$N$6:$N$213,'DT-GV'!$H$6:$H$213,E50,'DT-GV'!$R$6:$R$213,"&lt;&gt;0")</f>
        <v>248545455</v>
      </c>
      <c r="V50" s="48">
        <f>SUMIFS('DT-GV'!$N$6:$N$213,'DT-GV'!$H$6:$H$213,E50,'DT-GV'!$R$6:$R$213,0)</f>
        <v>0</v>
      </c>
      <c r="W50" s="15">
        <f>-SUMIFS('DT-GV'!$R$6:$R$213,'DT-GV'!$H$6:$H$213,E50)</f>
        <v>-270545455</v>
      </c>
      <c r="X50" s="11">
        <f>IFERROR(VLOOKUP($E50,'Dự thu chiết khấu'!$L$3:$AK$226,26,0)/1.1,0)</f>
        <v>31941818.18181818</v>
      </c>
      <c r="Y50" s="11">
        <f>IFERROR(VLOOKUP($E50,'Dự thu chiết khấu'!$L$3:$BE$226,46,0)/1.1,0)</f>
        <v>0</v>
      </c>
      <c r="Z50" s="11">
        <f>-SUMIF('Lương năng suất'!$R$4:$R$208,E50,'Lương năng suất'!$AQ$4:$AQ$208)</f>
        <v>-6400000</v>
      </c>
      <c r="AA50" s="213" t="str">
        <f>IFERROR(IF(ISNUMBER(SEARCH("TẶNG",VLOOKUP(E50,'Dự thu chiết khấu'!$L$3:$AV$226,37,0))),"TẶNG",""),"")</f>
        <v/>
      </c>
      <c r="AB50" s="213" t="str">
        <f>IFERROR(IF(ISNUMBER(SEARCH("TẶNG",VLOOKUP(E50,'Dự thu chiết khấu'!$L$3:$AW$226,38,0))),"TẶNG",""),"")</f>
        <v/>
      </c>
      <c r="AC50" s="49">
        <f t="shared" si="5"/>
        <v>3541818.1818181798</v>
      </c>
      <c r="AD50" s="11">
        <f>IFERROR(VLOOKUP(E50,'Dự thu chiết khấu'!$L$3:$AM$226,28,0),0)</f>
        <v>0</v>
      </c>
      <c r="AE50" s="11">
        <f>IFERROR(VLOOKUP(E50,'Dự thu chiết khấu'!$L$3:$AN$226,29,0),0)</f>
        <v>0</v>
      </c>
      <c r="AF50" s="11">
        <f>IFERROR(VLOOKUP(E50,'Dự thu chiết khấu'!$L$3:$AO$226,30,0),0)</f>
        <v>0</v>
      </c>
    </row>
    <row r="51" spans="1:32">
      <c r="A51" s="11">
        <v>45</v>
      </c>
      <c r="B51" t="str">
        <f>IFERROR(INDEX('Dự thu chiết khấu'!$E:$E,MATCH(E51,'Dự thu chiết khấu'!$L:$L,0)),"")</f>
        <v>Bùi Duy Luân</v>
      </c>
      <c r="C51" s="51" t="str">
        <f>IFERROR(INDEX('Dự thu chiết khấu'!$F:$F,MATCH(E51,'Dự thu chiết khấu'!$L:$L,0)),"")</f>
        <v>Trương Hoàng Danh</v>
      </c>
      <c r="D51" s="4" t="str">
        <f>IFERROR(INDEX('Dự thu chiết khấu'!$H:$H,MATCH(E51,'Dự thu chiết khấu'!$L:$L,0)),"")</f>
        <v>EC VAN</v>
      </c>
      <c r="E51" s="4" t="str">
        <f>'Dự thu chiết khấu'!L48</f>
        <v>RNXVGRPK6TT702527</v>
      </c>
      <c r="F51" s="5" t="s">
        <v>138</v>
      </c>
      <c r="G51" s="5" t="str" cm="1">
        <f t="array" ref="G51">IFERROR(INDEX('DT-GV'!$X$6:$X$213,MATCH(1,('DT-GV'!$H$6:$H$213=E51)*('DT-GV'!$R$6:$R$213&lt;&gt;0),0)),IFERROR(VLOOKUP(E51,'DT-GV'!$H$6:$X$213,17,0),""))</f>
        <v>Q9KD</v>
      </c>
      <c r="H51" s="6" t="str">
        <f>VLOOKUP(E51,'Dự thu chiết khấu'!$L$3:$M$226,2,0)</f>
        <v>S11007</v>
      </c>
      <c r="I51">
        <v>1</v>
      </c>
      <c r="J51" s="11">
        <f>VLOOKUP(E51,'Dự thu chiết khấu'!$L$3:$P$226,5,0)</f>
        <v>305000000</v>
      </c>
      <c r="K51" s="12">
        <f t="shared" si="6"/>
        <v>0</v>
      </c>
      <c r="L51" s="12">
        <f t="shared" si="7"/>
        <v>0</v>
      </c>
      <c r="M51" s="13">
        <f>IFERROR(VLOOKUP(E51,'Dự thu chiết khấu'!$L$3:$R$226,7,0),0)</f>
        <v>7.0000000000000007E-2</v>
      </c>
      <c r="N51" s="14">
        <f>IFERROR(VLOOKUP(E51,'Dự thu chiết khấu'!$L$3:$S$226,8,0),0)</f>
        <v>0</v>
      </c>
      <c r="O51" s="11">
        <f>IF(IFERROR(VLOOKUP(E51,'Dự thu chiết khấu'!$L$3:$T$226,9,0),0)&gt;0,J51*$O$5,0)</f>
        <v>9150000</v>
      </c>
      <c r="P51" s="13">
        <f>IFERROR(VLOOKUP(E51,'Dự thu chiết khấu'!$L$3:$U$226,10,0),0)</f>
        <v>0</v>
      </c>
      <c r="Q51" s="12">
        <f>IFERROR(VLOOKUP(E51,'Dự thu chiết khấu'!$L$3:$V$226,11,0),0)</f>
        <v>0</v>
      </c>
      <c r="R51" s="12">
        <f>VLOOKUP($E51,'Dự thu chiết khấu'!$L$3:$W$226,12,0)</f>
        <v>0</v>
      </c>
      <c r="S51" s="12">
        <f t="shared" si="3"/>
        <v>268954545.45454544</v>
      </c>
      <c r="T51" s="11">
        <f t="shared" si="4"/>
        <v>0.45454543828964233</v>
      </c>
      <c r="U51" s="15">
        <f>SUMIFS('DT-GV'!$N$6:$N$213,'DT-GV'!$H$6:$H$213,E51,'DT-GV'!$R$6:$R$213,"&lt;&gt;0")</f>
        <v>268954545</v>
      </c>
      <c r="V51" s="48">
        <f>SUMIFS('DT-GV'!$N$6:$N$213,'DT-GV'!$H$6:$H$213,E51,'DT-GV'!$R$6:$R$213,0)</f>
        <v>0</v>
      </c>
      <c r="W51" s="15">
        <f>-SUMIFS('DT-GV'!$R$6:$R$213,'DT-GV'!$H$6:$H$213,E51)</f>
        <v>-266181818</v>
      </c>
      <c r="X51" s="11">
        <f>IFERROR(VLOOKUP($E51,'Dự thu chiết khấu'!$L$3:$AK$226,26,0)/1.1,0)</f>
        <v>7985454.5454545449</v>
      </c>
      <c r="Y51" s="11">
        <f>IFERROR(VLOOKUP($E51,'Dự thu chiết khấu'!$L$3:$BE$226,46,0)/1.1,0)</f>
        <v>2689545.4545454541</v>
      </c>
      <c r="Z51" s="11">
        <f>-SUMIF('Lương năng suất'!$R$4:$R$208,E51,'Lương năng suất'!$AQ$4:$AQ$208)</f>
        <v>-6000000</v>
      </c>
      <c r="AA51" s="213" t="str">
        <f>IFERROR(IF(ISNUMBER(SEARCH("TẶNG",VLOOKUP(E51,'Dự thu chiết khấu'!$L$3:$AV$226,37,0))),"TẶNG",""),"")</f>
        <v/>
      </c>
      <c r="AB51" s="213" t="str">
        <f>IFERROR(IF(ISNUMBER(SEARCH("TẶNG",VLOOKUP(E51,'Dự thu chiết khấu'!$L$3:$AW$226,38,0))),"TẶNG",""),"")</f>
        <v/>
      </c>
      <c r="AC51" s="49">
        <f t="shared" si="5"/>
        <v>7447727</v>
      </c>
      <c r="AD51" s="11">
        <f>IFERROR(VLOOKUP(E51,'Dự thu chiết khấu'!$L$3:$AM$226,28,0),0)</f>
        <v>0</v>
      </c>
      <c r="AE51" s="11">
        <f>IFERROR(VLOOKUP(E51,'Dự thu chiết khấu'!$L$3:$AN$226,29,0),0)</f>
        <v>0</v>
      </c>
      <c r="AF51" s="11">
        <f>IFERROR(VLOOKUP(E51,'Dự thu chiết khấu'!$L$3:$AO$226,30,0),0)</f>
        <v>0</v>
      </c>
    </row>
    <row r="52" spans="1:32">
      <c r="A52">
        <v>46</v>
      </c>
      <c r="B52" t="str">
        <f>IFERROR(INDEX('Dự thu chiết khấu'!$E:$E,MATCH(E52,'Dự thu chiết khấu'!$L:$L,0)),"")</f>
        <v>Vũ Đức Danh</v>
      </c>
      <c r="C52" s="51" t="str">
        <f>IFERROR(INDEX('Dự thu chiết khấu'!$F:$F,MATCH(E52,'Dự thu chiết khấu'!$L:$L,0)),"")</f>
        <v>Nguyễn Trần Khánh</v>
      </c>
      <c r="D52" s="4" t="str">
        <f>IFERROR(INDEX('Dự thu chiết khấu'!$H:$H,MATCH(E52,'Dự thu chiết khấu'!$L:$L,0)),"")</f>
        <v>VF 5</v>
      </c>
      <c r="E52" s="4" t="str">
        <f>'Dự thu chiết khấu'!L49</f>
        <v>RLNV5JSE6TH736286</v>
      </c>
      <c r="F52" s="5" t="s">
        <v>138</v>
      </c>
      <c r="G52" s="5" t="str" cm="1">
        <f t="array" ref="G52">IFERROR(INDEX('DT-GV'!$X$6:$X$213,MATCH(1,('DT-GV'!$H$6:$H$213=E52)*('DT-GV'!$R$6:$R$213&lt;&gt;0),0)),IFERROR(VLOOKUP(E52,'DT-GV'!$H$6:$X$213,17,0),""))</f>
        <v>Q9KD</v>
      </c>
      <c r="H52" s="6" t="str">
        <f>VLOOKUP(E52,'Dự thu chiết khấu'!$L$3:$M$226,2,0)</f>
        <v>S11007</v>
      </c>
      <c r="I52">
        <v>1</v>
      </c>
      <c r="J52" s="11">
        <f>VLOOKUP(E52,'Dự thu chiết khấu'!$L$3:$P$226,5,0)</f>
        <v>529000000</v>
      </c>
      <c r="K52" s="12">
        <f t="shared" si="6"/>
        <v>31740000</v>
      </c>
      <c r="L52" s="12">
        <f t="shared" si="7"/>
        <v>0</v>
      </c>
      <c r="M52" s="13">
        <f>IFERROR(VLOOKUP(E52,'Dự thu chiết khấu'!$L$3:$R$226,7,0),0)</f>
        <v>0</v>
      </c>
      <c r="N52" s="14">
        <f>IFERROR(VLOOKUP(E52,'Dự thu chiết khấu'!$L$3:$S$226,8,0),0)</f>
        <v>0</v>
      </c>
      <c r="O52" s="11">
        <f>IF(IFERROR(VLOOKUP(E52,'Dự thu chiết khấu'!$L$3:$T$226,9,0),0)&gt;0,J52*$O$5,0)</f>
        <v>0</v>
      </c>
      <c r="P52" s="13">
        <f>IFERROR(VLOOKUP(E52,'Dự thu chiết khấu'!$L$3:$U$226,10,0),0)</f>
        <v>0</v>
      </c>
      <c r="Q52" s="12">
        <f>IFERROR(VLOOKUP(E52,'Dự thu chiết khấu'!$L$3:$V$226,11,0),0)</f>
        <v>0</v>
      </c>
      <c r="R52" s="12">
        <f>VLOOKUP($E52,'Dự thu chiết khấu'!$L$3:$W$226,12,0)</f>
        <v>10000000</v>
      </c>
      <c r="S52" s="12">
        <f t="shared" si="3"/>
        <v>442963636.36363631</v>
      </c>
      <c r="T52" s="11">
        <f t="shared" si="4"/>
        <v>0.363636314868927</v>
      </c>
      <c r="U52" s="15">
        <f>SUMIFS('DT-GV'!$N$6:$N$213,'DT-GV'!$H$6:$H$213,E52,'DT-GV'!$R$6:$R$213,"&lt;&gt;0")</f>
        <v>442963636</v>
      </c>
      <c r="V52" s="48">
        <f>SUMIFS('DT-GV'!$N$6:$N$213,'DT-GV'!$H$6:$H$213,E52,'DT-GV'!$R$6:$R$213,0)</f>
        <v>0</v>
      </c>
      <c r="W52" s="15">
        <f>-SUMIFS('DT-GV'!$R$6:$R$213,'DT-GV'!$H$6:$H$213,E52)</f>
        <v>-461672727</v>
      </c>
      <c r="X52" s="11">
        <f>IFERROR(VLOOKUP($E52,'Dự thu chiết khấu'!$L$3:$AK$226,26,0)/1.1,0)</f>
        <v>27700363.636363633</v>
      </c>
      <c r="Y52" s="11">
        <f>IFERROR(VLOOKUP($E52,'Dự thu chiết khấu'!$L$3:$BE$226,46,0)/1.1,0)</f>
        <v>4520545.4545454541</v>
      </c>
      <c r="Z52" s="11">
        <f>-SUMIF('Lương năng suất'!$R$4:$R$208,E52,'Lương năng suất'!$AQ$4:$AQ$208)</f>
        <v>-4800000</v>
      </c>
      <c r="AA52" s="213" t="str">
        <f>IFERROR(IF(ISNUMBER(SEARCH("TẶNG",VLOOKUP(E52,'Dự thu chiết khấu'!$L$3:$AV$226,37,0))),"TẶNG",""),"")</f>
        <v/>
      </c>
      <c r="AB52" s="213" t="str">
        <f>IFERROR(IF(ISNUMBER(SEARCH("TẶNG",VLOOKUP(E52,'Dự thu chiết khấu'!$L$3:$AW$226,38,0))),"TẶNG",""),"")</f>
        <v/>
      </c>
      <c r="AC52" s="49">
        <f t="shared" si="5"/>
        <v>8711818.0909090862</v>
      </c>
      <c r="AD52" s="11">
        <f>IFERROR(VLOOKUP(E52,'Dự thu chiết khấu'!$L$3:$AM$226,28,0),0)</f>
        <v>0</v>
      </c>
      <c r="AE52" s="11">
        <f>IFERROR(VLOOKUP(E52,'Dự thu chiết khấu'!$L$3:$AN$226,29,0),0)</f>
        <v>0</v>
      </c>
      <c r="AF52" s="11">
        <f>IFERROR(VLOOKUP(E52,'Dự thu chiết khấu'!$L$3:$AO$226,30,0),0)</f>
        <v>7000000</v>
      </c>
    </row>
    <row r="53" spans="1:32">
      <c r="A53" s="11">
        <v>47</v>
      </c>
      <c r="B53" t="str">
        <f>IFERROR(INDEX('Dự thu chiết khấu'!$E:$E,MATCH(E53,'Dự thu chiết khấu'!$L:$L,0)),"")</f>
        <v>Phạm Hoàng Long</v>
      </c>
      <c r="C53" s="51" t="str">
        <f>IFERROR(INDEX('Dự thu chiết khấu'!$F:$F,MATCH(E53,'Dự thu chiết khấu'!$L:$L,0)),"")</f>
        <v>Trịnh Kim Thôi</v>
      </c>
      <c r="D53" s="4" t="str">
        <f>IFERROR(INDEX('Dự thu chiết khấu'!$H:$H,MATCH(E53,'Dự thu chiết khấu'!$L:$L,0)),"")</f>
        <v>LIMO GREEN</v>
      </c>
      <c r="E53" s="4" t="str">
        <f>'Dự thu chiết khấu'!L50</f>
        <v>RLLVFPNTXTH701821</v>
      </c>
      <c r="F53" s="5" t="s">
        <v>138</v>
      </c>
      <c r="G53" s="5" t="str" cm="1">
        <f t="array" ref="G53">IFERROR(INDEX('DT-GV'!$X$6:$X$213,MATCH(1,('DT-GV'!$H$6:$H$213=E53)*('DT-GV'!$R$6:$R$213&lt;&gt;0),0)),IFERROR(VLOOKUP(E53,'DT-GV'!$H$6:$X$213,17,0),""))</f>
        <v>Q9KD</v>
      </c>
      <c r="H53" s="8" t="str">
        <f>VLOOKUP(E53,'Dự thu chiết khấu'!$L$3:$M$226,2,0)</f>
        <v>S11007</v>
      </c>
      <c r="I53">
        <v>1</v>
      </c>
      <c r="J53" s="11">
        <f>VLOOKUP(E53,'Dự thu chiết khấu'!$L$3:$P$226,5,0)</f>
        <v>749000000</v>
      </c>
      <c r="K53" s="12">
        <f t="shared" si="6"/>
        <v>44940000</v>
      </c>
      <c r="L53" s="12">
        <f t="shared" si="7"/>
        <v>0</v>
      </c>
      <c r="M53" s="13">
        <f>IFERROR(VLOOKUP(E53,'Dự thu chiết khấu'!$L$3:$R$226,7,0),0)</f>
        <v>0</v>
      </c>
      <c r="N53" s="14">
        <f>IFERROR(VLOOKUP(E53,'Dự thu chiết khấu'!$L$3:$S$226,8,0),0)</f>
        <v>0</v>
      </c>
      <c r="O53" s="11">
        <f>IF(IFERROR(VLOOKUP(E53,'Dự thu chiết khấu'!$L$3:$T$226,9,0),0)&gt;0,J53*$O$5,0)</f>
        <v>0</v>
      </c>
      <c r="P53" s="13">
        <f>IFERROR(VLOOKUP(E53,'Dự thu chiết khấu'!$L$3:$U$226,10,0),0)</f>
        <v>0</v>
      </c>
      <c r="Q53" s="12">
        <f>IFERROR(VLOOKUP(E53,'Dự thu chiết khấu'!$L$3:$V$226,11,0),0)</f>
        <v>0</v>
      </c>
      <c r="R53" s="12">
        <f>VLOOKUP($E53,'Dự thu chiết khấu'!$L$3:$W$226,12,0)</f>
        <v>12000000</v>
      </c>
      <c r="S53" s="12">
        <f t="shared" si="3"/>
        <v>629145454.5454545</v>
      </c>
      <c r="T53" s="11">
        <f t="shared" si="4"/>
        <v>-0.45454549789428711</v>
      </c>
      <c r="U53" s="15">
        <f>SUMIFS('DT-GV'!$N$6:$N$213,'DT-GV'!$H$6:$H$213,E53,'DT-GV'!$R$6:$R$213,"&lt;&gt;0")</f>
        <v>629145455</v>
      </c>
      <c r="V53" s="48">
        <f>SUMIFS('DT-GV'!$N$6:$N$213,'DT-GV'!$H$6:$H$213,E53,'DT-GV'!$R$6:$R$213,0)</f>
        <v>0</v>
      </c>
      <c r="W53" s="15">
        <f>-SUMIFS('DT-GV'!$R$6:$R$213,'DT-GV'!$H$6:$H$213,E53)</f>
        <v>-653672727</v>
      </c>
      <c r="X53" s="11">
        <f>IFERROR(VLOOKUP($E53,'Dự thu chiết khấu'!$L$3:$AK$226,26,0)/1.1,0)</f>
        <v>39220363.636363633</v>
      </c>
      <c r="Y53" s="11">
        <f>IFERROR(VLOOKUP($E53,'Dự thu chiết khấu'!$L$3:$BE$226,46,0)/1.1,0)</f>
        <v>6400545.4545454541</v>
      </c>
      <c r="Z53" s="11">
        <f>-SUMIF('Lương năng suất'!$R$4:$R$208,E53,'Lương năng suất'!$AQ$4:$AQ$208)</f>
        <v>-8600000</v>
      </c>
      <c r="AA53" s="213" t="str">
        <f>IFERROR(IF(ISNUMBER(SEARCH("TẶNG",VLOOKUP(E53,'Dự thu chiết khấu'!$L$3:$AV$226,37,0))),"TẶNG",""),"")</f>
        <v/>
      </c>
      <c r="AB53" s="213" t="str">
        <f>IFERROR(IF(ISNUMBER(SEARCH("TẶNG",VLOOKUP(E53,'Dự thu chiết khấu'!$L$3:$AW$226,38,0))),"TẶNG",""),"")</f>
        <v/>
      </c>
      <c r="AC53" s="49">
        <f t="shared" si="5"/>
        <v>12493637.090909086</v>
      </c>
      <c r="AD53" s="11">
        <f>IFERROR(VLOOKUP(E53,'Dự thu chiết khấu'!$L$3:$AM$226,28,0),0)</f>
        <v>0</v>
      </c>
      <c r="AE53" s="11">
        <f>IFERROR(VLOOKUP(E53,'Dự thu chiết khấu'!$L$3:$AN$226,29,0),0)</f>
        <v>0</v>
      </c>
      <c r="AF53" s="11">
        <f>IFERROR(VLOOKUP(E53,'Dự thu chiết khấu'!$L$3:$AO$226,30,0),0)</f>
        <v>0</v>
      </c>
    </row>
    <row r="54" spans="1:32">
      <c r="A54">
        <v>48</v>
      </c>
      <c r="B54" t="str">
        <f>IFERROR(INDEX('Dự thu chiết khấu'!$E:$E,MATCH(E54,'Dự thu chiết khấu'!$L:$L,0)),"")</f>
        <v>Nguyễn Trần Quốc Duy</v>
      </c>
      <c r="C54" s="51" t="str">
        <f>IFERROR(INDEX('Dự thu chiết khấu'!$F:$F,MATCH(E54,'Dự thu chiết khấu'!$L:$L,0)),"")</f>
        <v>Võ Thị Cẩm Vân</v>
      </c>
      <c r="D54" s="4" t="str">
        <f>IFERROR(INDEX('Dự thu chiết khấu'!$H:$H,MATCH(E54,'Dự thu chiết khấu'!$L:$L,0)),"")</f>
        <v>MPV 7</v>
      </c>
      <c r="E54" s="4" t="str">
        <f>'Dự thu chiết khấu'!L51</f>
        <v>RLLVFPTT4TH731965</v>
      </c>
      <c r="F54" s="5" t="s">
        <v>138</v>
      </c>
      <c r="G54" s="5" t="str" cm="1">
        <f t="array" ref="G54">IFERROR(INDEX('DT-GV'!$X$6:$X$213,MATCH(1,('DT-GV'!$H$6:$H$213=E54)*('DT-GV'!$R$6:$R$213&lt;&gt;0),0)),IFERROR(VLOOKUP(E54,'DT-GV'!$H$6:$X$213,17,0),""))</f>
        <v>Q9KD</v>
      </c>
      <c r="H54" s="7" t="str">
        <f>VLOOKUP(E54,'Dự thu chiết khấu'!$L$3:$M$226,2,0)</f>
        <v>S11007</v>
      </c>
      <c r="I54">
        <v>1</v>
      </c>
      <c r="J54" s="11">
        <f>VLOOKUP(E54,'Dự thu chiết khấu'!$L$3:$P$226,5,0)</f>
        <v>819000000</v>
      </c>
      <c r="K54" s="12">
        <f t="shared" si="6"/>
        <v>49140000</v>
      </c>
      <c r="L54" s="12">
        <f t="shared" si="7"/>
        <v>0</v>
      </c>
      <c r="M54" s="13">
        <f>IFERROR(VLOOKUP(E54,'Dự thu chiết khấu'!$L$3:$R$226,7,0),0)</f>
        <v>0</v>
      </c>
      <c r="N54" s="14">
        <f>IFERROR(VLOOKUP(E54,'Dự thu chiết khấu'!$L$3:$S$226,8,0),0)</f>
        <v>0</v>
      </c>
      <c r="O54" s="11">
        <f>IF(IFERROR(VLOOKUP(E54,'Dự thu chiết khấu'!$L$3:$T$226,9,0),0)&gt;0,J54*$O$5,0)</f>
        <v>24570000</v>
      </c>
      <c r="P54" s="13">
        <f>IFERROR(VLOOKUP(E54,'Dự thu chiết khấu'!$L$3:$U$226,10,0),0)</f>
        <v>0</v>
      </c>
      <c r="Q54" s="12">
        <f>IFERROR(VLOOKUP(E54,'Dự thu chiết khấu'!$L$3:$V$226,11,0),0)</f>
        <v>0</v>
      </c>
      <c r="R54" s="12">
        <f>VLOOKUP($E54,'Dự thu chiết khấu'!$L$3:$W$226,12,0)</f>
        <v>0</v>
      </c>
      <c r="S54" s="12">
        <f t="shared" si="3"/>
        <v>677536363.63636363</v>
      </c>
      <c r="T54" s="11">
        <f t="shared" si="4"/>
        <v>-0.36363637447357178</v>
      </c>
      <c r="U54" s="15">
        <f>SUMIFS('DT-GV'!$N$6:$N$213,'DT-GV'!$H$6:$H$213,E54,'DT-GV'!$R$6:$R$213,"&lt;&gt;0")</f>
        <v>677536364</v>
      </c>
      <c r="V54" s="48">
        <f>SUMIFS('DT-GV'!$N$6:$N$213,'DT-GV'!$H$6:$H$213,E54,'DT-GV'!$R$6:$R$213,0)</f>
        <v>0</v>
      </c>
      <c r="W54" s="15">
        <f>-SUMIFS('DT-GV'!$R$6:$R$213,'DT-GV'!$H$6:$H$213,E54)</f>
        <v>-714763636</v>
      </c>
      <c r="X54" s="11">
        <f>IFERROR(VLOOKUP($E54,'Dự thu chiết khấu'!$L$3:$AK$226,26,0)/1.1,0)</f>
        <v>64328727.272727266</v>
      </c>
      <c r="Y54" s="11">
        <f>IFERROR(VLOOKUP($E54,'Dự thu chiết khấu'!$L$3:$BE$226,46,0)/1.1,0)</f>
        <v>6775363.6363636358</v>
      </c>
      <c r="Z54" s="11">
        <f>-SUMIF('Lương năng suất'!$R$4:$R$208,E54,'Lương năng suất'!$AQ$4:$AQ$208)</f>
        <v>-16000000</v>
      </c>
      <c r="AA54" s="213" t="str">
        <f>IFERROR(IF(ISNUMBER(SEARCH("TẶNG",VLOOKUP(E54,'Dự thu chiết khấu'!$L$3:$AV$226,37,0))),"TẶNG",""),"")</f>
        <v/>
      </c>
      <c r="AB54" s="213" t="str">
        <f>IFERROR(IF(ISNUMBER(SEARCH("TẶNG",VLOOKUP(E54,'Dự thu chiết khấu'!$L$3:$AW$226,38,0))),"TẶNG",""),"")</f>
        <v/>
      </c>
      <c r="AC54" s="49">
        <f t="shared" si="5"/>
        <v>17876818.909090899</v>
      </c>
      <c r="AD54" s="11">
        <f>IFERROR(VLOOKUP(E54,'Dự thu chiết khấu'!$L$3:$AM$226,28,0),0)</f>
        <v>0</v>
      </c>
      <c r="AE54" s="11">
        <f>IFERROR(VLOOKUP(E54,'Dự thu chiết khấu'!$L$3:$AN$226,29,0),0)</f>
        <v>15000000</v>
      </c>
      <c r="AF54" s="11">
        <f>IFERROR(VLOOKUP(E54,'Dự thu chiết khấu'!$L$3:$AO$226,30,0),0)</f>
        <v>0</v>
      </c>
    </row>
    <row r="55" spans="1:32">
      <c r="A55" s="11">
        <v>49</v>
      </c>
      <c r="B55" t="str">
        <f>IFERROR(INDEX('Dự thu chiết khấu'!$E:$E,MATCH(E55,'Dự thu chiết khấu'!$L:$L,0)),"")</f>
        <v>Nguyễn Minh Trí</v>
      </c>
      <c r="C55" s="51" t="str">
        <f>IFERROR(INDEX('Dự thu chiết khấu'!$F:$F,MATCH(E55,'Dự thu chiết khấu'!$L:$L,0)),"")</f>
        <v>Nguyễn Xuân Thủy</v>
      </c>
      <c r="D55" s="4" t="str">
        <f>IFERROR(INDEX('Dự thu chiết khấu'!$H:$H,MATCH(E55,'Dự thu chiết khấu'!$L:$L,0)),"")</f>
        <v>LIMO GREEN</v>
      </c>
      <c r="E55" s="4" t="str">
        <f>'Dự thu chiết khấu'!L52</f>
        <v>RLLVFPNT4TH742347</v>
      </c>
      <c r="F55" s="5" t="s">
        <v>138</v>
      </c>
      <c r="G55" s="5" t="str" cm="1">
        <f t="array" ref="G55">IFERROR(INDEX('DT-GV'!$X$6:$X$213,MATCH(1,('DT-GV'!$H$6:$H$213=E55)*('DT-GV'!$R$6:$R$213&lt;&gt;0),0)),IFERROR(VLOOKUP(E55,'DT-GV'!$H$6:$X$213,17,0),""))</f>
        <v>Q9KD</v>
      </c>
      <c r="H55" s="8" t="str">
        <f>VLOOKUP(E55,'Dự thu chiết khấu'!$L$3:$M$226,2,0)</f>
        <v>S11007</v>
      </c>
      <c r="I55">
        <v>1</v>
      </c>
      <c r="J55" s="11">
        <f>VLOOKUP(E55,'Dự thu chiết khấu'!$L$3:$P$226,5,0)</f>
        <v>749000000</v>
      </c>
      <c r="K55" s="12">
        <f t="shared" si="6"/>
        <v>44940000</v>
      </c>
      <c r="L55" s="12">
        <f t="shared" si="7"/>
        <v>0</v>
      </c>
      <c r="M55" s="13">
        <f>IFERROR(VLOOKUP(E55,'Dự thu chiết khấu'!$L$3:$R$226,7,0),0)</f>
        <v>0</v>
      </c>
      <c r="N55" s="14">
        <f>IFERROR(VLOOKUP(E55,'Dự thu chiết khấu'!$L$3:$S$226,8,0),0)</f>
        <v>0</v>
      </c>
      <c r="O55" s="11">
        <f>IF(IFERROR(VLOOKUP(E55,'Dự thu chiết khấu'!$L$3:$T$226,9,0),0)&gt;0,J55*$O$5,0)</f>
        <v>0</v>
      </c>
      <c r="P55" s="13">
        <f>IFERROR(VLOOKUP(E55,'Dự thu chiết khấu'!$L$3:$U$226,10,0),0)</f>
        <v>0</v>
      </c>
      <c r="Q55" s="12">
        <f>IFERROR(VLOOKUP(E55,'Dự thu chiết khấu'!$L$3:$V$226,11,0),0)</f>
        <v>0</v>
      </c>
      <c r="R55" s="12">
        <f>VLOOKUP($E55,'Dự thu chiết khấu'!$L$3:$W$226,12,0)</f>
        <v>0</v>
      </c>
      <c r="S55" s="12">
        <f t="shared" si="3"/>
        <v>640054545.45454538</v>
      </c>
      <c r="T55" s="11">
        <f t="shared" si="4"/>
        <v>0.45454537868499756</v>
      </c>
      <c r="U55" s="15">
        <f>SUMIFS('DT-GV'!$N$6:$N$213,'DT-GV'!$H$6:$H$213,E55,'DT-GV'!$R$6:$R$213,"&lt;&gt;0")</f>
        <v>640054545</v>
      </c>
      <c r="V55" s="48">
        <f>SUMIFS('DT-GV'!$N$6:$N$213,'DT-GV'!$H$6:$H$213,E55,'DT-GV'!$R$6:$R$213,0)</f>
        <v>0</v>
      </c>
      <c r="W55" s="15">
        <f>-SUMIFS('DT-GV'!$R$6:$R$213,'DT-GV'!$H$6:$H$213,E55)</f>
        <v>-653672727</v>
      </c>
      <c r="X55" s="11">
        <f>IFERROR(VLOOKUP($E55,'Dự thu chiết khấu'!$L$3:$AK$226,26,0)/1.1,0)</f>
        <v>39220363.636363633</v>
      </c>
      <c r="Y55" s="11">
        <f>IFERROR(VLOOKUP($E55,'Dự thu chiết khấu'!$L$3:$BE$226,46,0)/1.1,0)</f>
        <v>6400545.4545454541</v>
      </c>
      <c r="Z55" s="11">
        <f>-SUMIF('Lương năng suất'!$R$4:$R$208,E55,'Lương năng suất'!$AQ$4:$AQ$208)</f>
        <v>-15200000</v>
      </c>
      <c r="AA55" s="213" t="str">
        <f>IFERROR(IF(ISNUMBER(SEARCH("TẶNG",VLOOKUP(E55,'Dự thu chiết khấu'!$L$3:$AV$226,37,0))),"TẶNG",""),"")</f>
        <v/>
      </c>
      <c r="AB55" s="213" t="str">
        <f>IFERROR(IF(ISNUMBER(SEARCH("TẶNG",VLOOKUP(E55,'Dự thu chiết khấu'!$L$3:$AW$226,38,0))),"TẶNG",""),"")</f>
        <v/>
      </c>
      <c r="AC55" s="49">
        <f t="shared" si="5"/>
        <v>16802727.090909086</v>
      </c>
      <c r="AD55" s="11">
        <f>IFERROR(VLOOKUP(E55,'Dự thu chiết khấu'!$L$3:$AM$226,28,0),0)</f>
        <v>0</v>
      </c>
      <c r="AE55" s="11">
        <f>IFERROR(VLOOKUP(E55,'Dự thu chiết khấu'!$L$3:$AN$226,29,0),0)</f>
        <v>0</v>
      </c>
      <c r="AF55" s="11">
        <f>IFERROR(VLOOKUP(E55,'Dự thu chiết khấu'!$L$3:$AO$226,30,0),0)</f>
        <v>0</v>
      </c>
    </row>
    <row r="56" spans="1:32">
      <c r="A56">
        <v>50</v>
      </c>
      <c r="B56" t="str">
        <f>IFERROR(INDEX('Dự thu chiết khấu'!$E:$E,MATCH(E56,'Dự thu chiết khấu'!$L:$L,0)),"")</f>
        <v>Vũ Đức Danh</v>
      </c>
      <c r="C56" s="51" t="str">
        <f>IFERROR(INDEX('Dự thu chiết khấu'!$F:$F,MATCH(E56,'Dự thu chiết khấu'!$L:$L,0)),"")</f>
        <v>Nguyễn Đăng Khoa</v>
      </c>
      <c r="D56" s="4" t="str">
        <f>IFERROR(INDEX('Dự thu chiết khấu'!$H:$H,MATCH(E56,'Dự thu chiết khấu'!$L:$L,0)),"")</f>
        <v>VF 3</v>
      </c>
      <c r="E56" s="4" t="str">
        <f>'Dự thu chiết khấu'!L53</f>
        <v>RLNVBL9K2TT711981</v>
      </c>
      <c r="F56" s="5" t="s">
        <v>138</v>
      </c>
      <c r="G56" s="5" t="str" cm="1">
        <f t="array" ref="G56">IFERROR(INDEX('DT-GV'!$X$6:$X$213,MATCH(1,('DT-GV'!$H$6:$H$213=E56)*('DT-GV'!$R$6:$R$213&lt;&gt;0),0)),IFERROR(VLOOKUP(E56,'DT-GV'!$H$6:$X$213,17,0),""))</f>
        <v>Q9KD</v>
      </c>
      <c r="H56" s="6" t="str">
        <f>VLOOKUP(E56,'Dự thu chiết khấu'!$L$3:$M$226,2,0)</f>
        <v>S11007</v>
      </c>
      <c r="I56">
        <v>1</v>
      </c>
      <c r="J56" s="11">
        <f>VLOOKUP(E56,'Dự thu chiết khấu'!$L$3:$P$226,5,0)</f>
        <v>315000000</v>
      </c>
      <c r="K56" s="12">
        <f t="shared" si="6"/>
        <v>18900000</v>
      </c>
      <c r="L56" s="12">
        <f t="shared" si="7"/>
        <v>0</v>
      </c>
      <c r="M56" s="13">
        <f>IFERROR(VLOOKUP(E56,'Dự thu chiết khấu'!$L$3:$R$226,7,0),0)</f>
        <v>0</v>
      </c>
      <c r="N56" s="14">
        <f>IFERROR(VLOOKUP(E56,'Dự thu chiết khấu'!$L$3:$S$226,8,0),0)</f>
        <v>0</v>
      </c>
      <c r="O56" s="11">
        <f>IF(IFERROR(VLOOKUP(E56,'Dự thu chiết khấu'!$L$3:$T$226,9,0),0)&gt;0,J56*$O$5,0)</f>
        <v>0</v>
      </c>
      <c r="P56" s="13">
        <f>IFERROR(VLOOKUP(E56,'Dự thu chiết khấu'!$L$3:$U$226,10,0),0)</f>
        <v>0</v>
      </c>
      <c r="Q56" s="12">
        <f>IFERROR(VLOOKUP(E56,'Dự thu chiết khấu'!$L$3:$V$226,11,0),0)</f>
        <v>0</v>
      </c>
      <c r="R56" s="12">
        <f>VLOOKUP($E56,'Dự thu chiết khấu'!$L$3:$W$226,12,0)</f>
        <v>3000000</v>
      </c>
      <c r="S56" s="12">
        <f t="shared" si="3"/>
        <v>266454545.45454544</v>
      </c>
      <c r="T56" s="11">
        <f t="shared" si="4"/>
        <v>0.45454543828964233</v>
      </c>
      <c r="U56" s="15">
        <f>SUMIFS('DT-GV'!$N$6:$N$213,'DT-GV'!$H$6:$H$213,E56,'DT-GV'!$R$6:$R$213,"&lt;&gt;0")</f>
        <v>266454545</v>
      </c>
      <c r="V56" s="48">
        <f>SUMIFS('DT-GV'!$N$6:$N$213,'DT-GV'!$H$6:$H$213,E56,'DT-GV'!$R$6:$R$213,0)</f>
        <v>0</v>
      </c>
      <c r="W56" s="15">
        <f>-SUMIFS('DT-GV'!$R$6:$R$213,'DT-GV'!$H$6:$H$213,E56)</f>
        <v>-274909091</v>
      </c>
      <c r="X56" s="11">
        <f>IFERROR(VLOOKUP($E56,'Dự thu chiết khấu'!$L$3:$AK$226,26,0)/1.1,0)</f>
        <v>16494545.454545453</v>
      </c>
      <c r="Y56" s="11">
        <f>IFERROR(VLOOKUP($E56,'Dự thu chiết khấu'!$L$3:$BE$226,46,0)/1.1,0)</f>
        <v>2691818.1818181816</v>
      </c>
      <c r="Z56" s="11">
        <f>-SUMIF('Lương năng suất'!$R$4:$R$208,E56,'Lương năng suất'!$AQ$4:$AQ$208)</f>
        <v>-4400000</v>
      </c>
      <c r="AA56" s="213" t="str">
        <f>IFERROR(IF(ISNUMBER(SEARCH("TẶNG",VLOOKUP(E56,'Dự thu chiết khấu'!$L$3:$AV$226,37,0))),"TẶNG",""),"")</f>
        <v/>
      </c>
      <c r="AB56" s="213" t="str">
        <f>IFERROR(IF(ISNUMBER(SEARCH("TẶNG",VLOOKUP(E56,'Dự thu chiết khấu'!$L$3:$AW$226,38,0))),"TẶNG",""),"")</f>
        <v/>
      </c>
      <c r="AC56" s="49">
        <f t="shared" si="5"/>
        <v>6331817.6363636348</v>
      </c>
      <c r="AD56" s="11">
        <f>IFERROR(VLOOKUP(E56,'Dự thu chiết khấu'!$L$3:$AM$226,28,0),0)</f>
        <v>0</v>
      </c>
      <c r="AE56" s="11">
        <f>IFERROR(VLOOKUP(E56,'Dự thu chiết khấu'!$L$3:$AN$226,29,0),0)</f>
        <v>0</v>
      </c>
      <c r="AF56" s="11">
        <f>IFERROR(VLOOKUP(E56,'Dự thu chiết khấu'!$L$3:$AO$226,30,0),0)</f>
        <v>0</v>
      </c>
    </row>
    <row r="57" spans="1:32">
      <c r="A57" s="11">
        <v>51</v>
      </c>
      <c r="B57" t="str">
        <f>IFERROR(INDEX('Dự thu chiết khấu'!$E:$E,MATCH(E57,'Dự thu chiết khấu'!$L:$L,0)),"")</f>
        <v>Vũ Đức Danh</v>
      </c>
      <c r="C57" s="51" t="str">
        <f>IFERROR(INDEX('Dự thu chiết khấu'!$F:$F,MATCH(E57,'Dự thu chiết khấu'!$L:$L,0)),"")</f>
        <v>Vũ Thanh Minh</v>
      </c>
      <c r="D57" s="4" t="str">
        <f>IFERROR(INDEX('Dự thu chiết khấu'!$H:$H,MATCH(E57,'Dự thu chiết khấu'!$L:$L,0)),"")</f>
        <v>VF 3</v>
      </c>
      <c r="E57" s="4" t="str">
        <f>'Dự thu chiết khấu'!L54</f>
        <v>RLNVBL9KXTT708326</v>
      </c>
      <c r="F57" s="5" t="s">
        <v>138</v>
      </c>
      <c r="G57" s="5" t="str" cm="1">
        <f t="array" ref="G57">IFERROR(INDEX('DT-GV'!$X$6:$X$213,MATCH(1,('DT-GV'!$H$6:$H$213=E57)*('DT-GV'!$R$6:$R$213&lt;&gt;0),0)),IFERROR(VLOOKUP(E57,'DT-GV'!$H$6:$X$213,17,0),""))</f>
        <v>Q9KD</v>
      </c>
      <c r="H57" s="7" t="str">
        <f>VLOOKUP(E57,'Dự thu chiết khấu'!$L$3:$M$226,2,0)</f>
        <v>S11007</v>
      </c>
      <c r="I57">
        <v>1</v>
      </c>
      <c r="J57" s="11">
        <f>VLOOKUP(E57,'Dự thu chiết khấu'!$L$3:$P$226,5,0)</f>
        <v>302000000</v>
      </c>
      <c r="K57" s="12">
        <f t="shared" si="6"/>
        <v>18120000</v>
      </c>
      <c r="L57" s="12">
        <f t="shared" si="7"/>
        <v>0</v>
      </c>
      <c r="M57" s="13">
        <f>IFERROR(VLOOKUP(E57,'Dự thu chiết khấu'!$L$3:$R$226,7,0),0)</f>
        <v>0</v>
      </c>
      <c r="N57" s="14">
        <f>IFERROR(VLOOKUP(E57,'Dự thu chiết khấu'!$L$3:$S$226,8,0),0)</f>
        <v>0</v>
      </c>
      <c r="O57" s="11">
        <f>IF(IFERROR(VLOOKUP(E57,'Dự thu chiết khấu'!$L$3:$T$226,9,0),0)&gt;0,J57*$O$5,0)</f>
        <v>0</v>
      </c>
      <c r="P57" s="13">
        <f>IFERROR(VLOOKUP(E57,'Dự thu chiết khấu'!$L$3:$U$226,10,0),0)</f>
        <v>0</v>
      </c>
      <c r="Q57" s="12">
        <f>IFERROR(VLOOKUP(E57,'Dự thu chiết khấu'!$L$3:$V$226,11,0),0)</f>
        <v>0</v>
      </c>
      <c r="R57" s="12">
        <f>VLOOKUP($E57,'Dự thu chiết khấu'!$L$3:$W$226,12,0)</f>
        <v>0</v>
      </c>
      <c r="S57" s="12">
        <f t="shared" si="3"/>
        <v>258072727.27272725</v>
      </c>
      <c r="T57" s="11">
        <f t="shared" si="4"/>
        <v>0.27272725105285645</v>
      </c>
      <c r="U57" s="15">
        <f>SUMIFS('DT-GV'!$N$6:$N$213,'DT-GV'!$H$6:$H$213,E57,'DT-GV'!$R$6:$R$213,"&lt;&gt;0")</f>
        <v>258072727</v>
      </c>
      <c r="V57" s="48">
        <f>SUMIFS('DT-GV'!$N$6:$N$213,'DT-GV'!$H$6:$H$213,E57,'DT-GV'!$R$6:$R$213,0)</f>
        <v>0</v>
      </c>
      <c r="W57" s="15">
        <f>-SUMIFS('DT-GV'!$R$6:$R$213,'DT-GV'!$H$6:$H$213,E57)</f>
        <v>-263563636</v>
      </c>
      <c r="X57" s="11">
        <f>IFERROR(VLOOKUP($E57,'Dự thu chiết khấu'!$L$3:$AK$226,26,0)/1.1,0)</f>
        <v>15813818.18181818</v>
      </c>
      <c r="Y57" s="11">
        <f>IFERROR(VLOOKUP($E57,'Dự thu chiết khấu'!$L$3:$BE$226,46,0)/1.1,0)</f>
        <v>2580727.2727272725</v>
      </c>
      <c r="Z57" s="11">
        <f>-SUMIF('Lương năng suất'!$R$4:$R$208,E57,'Lương năng suất'!$AQ$4:$AQ$208)</f>
        <v>-6400000</v>
      </c>
      <c r="AA57" s="213" t="str">
        <f>IFERROR(IF(ISNUMBER(SEARCH("TẶNG",VLOOKUP(E57,'Dự thu chiết khấu'!$L$3:$AV$226,37,0))),"TẶNG",""),"")</f>
        <v/>
      </c>
      <c r="AB57" s="213" t="str">
        <f>IFERROR(IF(ISNUMBER(SEARCH("TẶNG",VLOOKUP(E57,'Dự thu chiết khấu'!$L$3:$AW$226,38,0))),"TẶNG",""),"")</f>
        <v/>
      </c>
      <c r="AC57" s="49">
        <f t="shared" si="5"/>
        <v>6503636.4545454532</v>
      </c>
      <c r="AD57" s="11">
        <f>IFERROR(VLOOKUP(E57,'Dự thu chiết khấu'!$L$3:$AM$226,28,0),0)</f>
        <v>0</v>
      </c>
      <c r="AE57" s="11">
        <f>IFERROR(VLOOKUP(E57,'Dự thu chiết khấu'!$L$3:$AN$226,29,0),0)</f>
        <v>0</v>
      </c>
      <c r="AF57" s="11">
        <f>IFERROR(VLOOKUP(E57,'Dự thu chiết khấu'!$L$3:$AO$226,30,0),0)</f>
        <v>0</v>
      </c>
    </row>
    <row r="58" spans="1:32">
      <c r="A58">
        <v>52</v>
      </c>
      <c r="B58" t="str">
        <f>IFERROR(INDEX('Dự thu chiết khấu'!$E:$E,MATCH(E58,'Dự thu chiết khấu'!$L:$L,0)),"")</f>
        <v>Phạm Huy Cường</v>
      </c>
      <c r="C58" s="51" t="str">
        <f>IFERROR(INDEX('Dự thu chiết khấu'!$F:$F,MATCH(E58,'Dự thu chiết khấu'!$L:$L,0)),"")</f>
        <v>Nguyễn Ngọc Giáp</v>
      </c>
      <c r="D58" s="4" t="str">
        <f>IFERROR(INDEX('Dự thu chiết khấu'!$H:$H,MATCH(E58,'Dự thu chiết khấu'!$L:$L,0)),"")</f>
        <v>VF 5</v>
      </c>
      <c r="E58" s="4" t="str">
        <f>'Dự thu chiết khấu'!L55</f>
        <v>RLNV5JSEXTH735951</v>
      </c>
      <c r="F58" s="5" t="s">
        <v>138</v>
      </c>
      <c r="G58" s="5" t="str" cm="1">
        <f t="array" ref="G58">IFERROR(INDEX('DT-GV'!$X$6:$X$213,MATCH(1,('DT-GV'!$H$6:$H$213=E58)*('DT-GV'!$R$6:$R$213&lt;&gt;0),0)),IFERROR(VLOOKUP(E58,'DT-GV'!$H$6:$X$213,17,0),""))</f>
        <v>Q9KD</v>
      </c>
      <c r="H58" s="6" t="str">
        <f>VLOOKUP(E58,'Dự thu chiết khấu'!$L$3:$M$226,2,0)</f>
        <v>S11007</v>
      </c>
      <c r="I58">
        <v>1</v>
      </c>
      <c r="J58" s="11">
        <f>VLOOKUP(E58,'Dự thu chiết khấu'!$L$3:$P$226,5,0)</f>
        <v>529000000</v>
      </c>
      <c r="K58" s="12">
        <f t="shared" si="6"/>
        <v>31740000</v>
      </c>
      <c r="L58" s="12">
        <f t="shared" si="7"/>
        <v>0</v>
      </c>
      <c r="M58" s="13">
        <f>IFERROR(VLOOKUP(E58,'Dự thu chiết khấu'!$L$3:$R$226,7,0),0)</f>
        <v>0</v>
      </c>
      <c r="N58" s="14">
        <f>IFERROR(VLOOKUP(E58,'Dự thu chiết khấu'!$L$3:$S$226,8,0),0)</f>
        <v>0</v>
      </c>
      <c r="O58" s="11">
        <f>IF(IFERROR(VLOOKUP(E58,'Dự thu chiết khấu'!$L$3:$T$226,9,0),0)&gt;0,J58*$O$5,0)</f>
        <v>0</v>
      </c>
      <c r="P58" s="13">
        <f>IFERROR(VLOOKUP(E58,'Dự thu chiết khấu'!$L$3:$U$226,10,0),0)</f>
        <v>0.05</v>
      </c>
      <c r="Q58" s="12">
        <f>IFERROR(VLOOKUP(E58,'Dự thu chiết khấu'!$L$3:$V$226,11,0),0)</f>
        <v>0</v>
      </c>
      <c r="R58" s="12">
        <f>VLOOKUP($E58,'Dự thu chiết khấu'!$L$3:$W$226,12,0)</f>
        <v>0</v>
      </c>
      <c r="S58" s="12">
        <f t="shared" si="3"/>
        <v>428009090.90909088</v>
      </c>
      <c r="T58" s="11">
        <f t="shared" si="4"/>
        <v>-9.0909123420715332E-2</v>
      </c>
      <c r="U58" s="15">
        <f>SUMIFS('DT-GV'!$N$6:$N$213,'DT-GV'!$H$6:$H$213,E58,'DT-GV'!$R$6:$R$213,"&lt;&gt;0")</f>
        <v>428009091</v>
      </c>
      <c r="V58" s="48">
        <f>SUMIFS('DT-GV'!$N$6:$N$213,'DT-GV'!$H$6:$H$213,E58,'DT-GV'!$R$6:$R$213,0)</f>
        <v>0</v>
      </c>
      <c r="W58" s="15">
        <f>-SUMIFS('DT-GV'!$R$6:$R$213,'DT-GV'!$H$6:$H$213,E58)</f>
        <v>-461672727</v>
      </c>
      <c r="X58" s="11">
        <f>IFERROR(VLOOKUP($E58,'Dự thu chiết khấu'!$L$3:$AK$226,26,0)/1.1,0)</f>
        <v>38761272.727272727</v>
      </c>
      <c r="Y58" s="11">
        <f>IFERROR(VLOOKUP($E58,'Dự thu chiết khấu'!$L$3:$BE$226,46,0)/1.1,0)</f>
        <v>4280090.9090909092</v>
      </c>
      <c r="Z58" s="11">
        <f>-SUMIF('Lương năng suất'!$R$4:$R$208,E58,'Lương năng suất'!$AQ$4:$AQ$208)</f>
        <v>-6400000</v>
      </c>
      <c r="AA58" s="213" t="str">
        <f>IFERROR(IF(ISNUMBER(SEARCH("TẶNG",VLOOKUP(E58,'Dự thu chiết khấu'!$L$3:$AV$226,37,0))),"TẶNG",""),"")</f>
        <v/>
      </c>
      <c r="AB58" s="213" t="str">
        <f>IFERROR(IF(ISNUMBER(SEARCH("TẶNG",VLOOKUP(E58,'Dự thu chiết khấu'!$L$3:$AW$226,38,0))),"TẶNG",""),"")</f>
        <v/>
      </c>
      <c r="AC58" s="49">
        <f t="shared" si="5"/>
        <v>2977727.6363636367</v>
      </c>
      <c r="AD58" s="11">
        <f>IFERROR(VLOOKUP(E58,'Dự thu chiết khấu'!$L$3:$AM$226,28,0),0)</f>
        <v>0</v>
      </c>
      <c r="AE58" s="11">
        <f>IFERROR(VLOOKUP(E58,'Dự thu chiết khấu'!$L$3:$AN$226,29,0),0)</f>
        <v>0</v>
      </c>
      <c r="AF58" s="11">
        <f>IFERROR(VLOOKUP(E58,'Dự thu chiết khấu'!$L$3:$AO$226,30,0),0)</f>
        <v>0</v>
      </c>
    </row>
    <row r="59" spans="1:32">
      <c r="A59" s="11">
        <v>53</v>
      </c>
      <c r="B59" t="str">
        <f>IFERROR(INDEX('Dự thu chiết khấu'!$E:$E,MATCH(E59,'Dự thu chiết khấu'!$L:$L,0)),"")</f>
        <v>Võ Thành Nhân</v>
      </c>
      <c r="C59" s="51" t="str">
        <f>IFERROR(INDEX('Dự thu chiết khấu'!$F:$F,MATCH(E59,'Dự thu chiết khấu'!$L:$L,0)),"")</f>
        <v>Hoàng Tiến Bình</v>
      </c>
      <c r="D59" s="4" t="str">
        <f>IFERROR(INDEX('Dự thu chiết khấu'!$H:$H,MATCH(E59,'Dự thu chiết khấu'!$L:$L,0)),"")</f>
        <v>LIMO GREEN</v>
      </c>
      <c r="E59" s="4" t="str">
        <f>'Dự thu chiết khấu'!L56</f>
        <v>RLLVFPNT7TH713005</v>
      </c>
      <c r="F59" s="5" t="s">
        <v>138</v>
      </c>
      <c r="G59" s="5" t="str" cm="1">
        <f t="array" ref="G59">IFERROR(INDEX('DT-GV'!$X$6:$X$213,MATCH(1,('DT-GV'!$H$6:$H$213=E59)*('DT-GV'!$R$6:$R$213&lt;&gt;0),0)),IFERROR(VLOOKUP(E59,'DT-GV'!$H$6:$X$213,17,0),""))</f>
        <v>Q9KD</v>
      </c>
      <c r="H59" s="7" t="str">
        <f>VLOOKUP(E59,'Dự thu chiết khấu'!$L$3:$M$226,2,0)</f>
        <v>S11007</v>
      </c>
      <c r="I59">
        <v>1</v>
      </c>
      <c r="J59" s="11">
        <f>VLOOKUP(E59,'Dự thu chiết khấu'!$L$3:$P$226,5,0)</f>
        <v>749000000</v>
      </c>
      <c r="K59" s="12">
        <f t="shared" si="6"/>
        <v>44940000</v>
      </c>
      <c r="L59" s="12">
        <f t="shared" si="7"/>
        <v>0</v>
      </c>
      <c r="M59" s="13">
        <f>IFERROR(VLOOKUP(E59,'Dự thu chiết khấu'!$L$3:$R$226,7,0),0)</f>
        <v>0</v>
      </c>
      <c r="N59" s="14">
        <f>IFERROR(VLOOKUP(E59,'Dự thu chiết khấu'!$L$3:$S$226,8,0),0)</f>
        <v>0</v>
      </c>
      <c r="O59" s="11">
        <f>IF(IFERROR(VLOOKUP(E59,'Dự thu chiết khấu'!$L$3:$T$226,9,0),0)&gt;0,J59*$O$5,0)</f>
        <v>0</v>
      </c>
      <c r="P59" s="13">
        <f>IFERROR(VLOOKUP(E59,'Dự thu chiết khấu'!$L$3:$U$226,10,0),0)</f>
        <v>0</v>
      </c>
      <c r="Q59" s="12">
        <f>IFERROR(VLOOKUP(E59,'Dự thu chiết khấu'!$L$3:$V$226,11,0),0)</f>
        <v>0</v>
      </c>
      <c r="R59" s="12">
        <f>VLOOKUP($E59,'Dự thu chiết khấu'!$L$3:$W$226,12,0)</f>
        <v>12000000</v>
      </c>
      <c r="S59" s="12">
        <f t="shared" si="3"/>
        <v>629145454.5454545</v>
      </c>
      <c r="T59" s="11">
        <f t="shared" si="4"/>
        <v>-0.45454549789428711</v>
      </c>
      <c r="U59" s="15">
        <f>SUMIFS('DT-GV'!$N$6:$N$213,'DT-GV'!$H$6:$H$213,E59,'DT-GV'!$R$6:$R$213,"&lt;&gt;0")</f>
        <v>629145455</v>
      </c>
      <c r="V59" s="48">
        <f>SUMIFS('DT-GV'!$N$6:$N$213,'DT-GV'!$H$6:$H$213,E59,'DT-GV'!$R$6:$R$213,0)</f>
        <v>0</v>
      </c>
      <c r="W59" s="15">
        <f>-SUMIFS('DT-GV'!$R$6:$R$213,'DT-GV'!$H$6:$H$213,E59)</f>
        <v>-653672727</v>
      </c>
      <c r="X59" s="11">
        <f>IFERROR(VLOOKUP($E59,'Dự thu chiết khấu'!$L$3:$AK$226,26,0)/1.1,0)</f>
        <v>39220363.636363633</v>
      </c>
      <c r="Y59" s="11">
        <f>IFERROR(VLOOKUP($E59,'Dự thu chiết khấu'!$L$3:$BE$226,46,0)/1.1,0)</f>
        <v>6400545.4545454541</v>
      </c>
      <c r="Z59" s="11">
        <f>-SUMIF('Lương năng suất'!$R$4:$R$208,E59,'Lương năng suất'!$AQ$4:$AQ$208)</f>
        <v>-8600000</v>
      </c>
      <c r="AA59" s="213" t="str">
        <f>IFERROR(IF(ISNUMBER(SEARCH("TẶNG",VLOOKUP(E59,'Dự thu chiết khấu'!$L$3:$AV$226,37,0))),"TẶNG",""),"")</f>
        <v/>
      </c>
      <c r="AB59" s="213" t="str">
        <f>IFERROR(IF(ISNUMBER(SEARCH("TẶNG",VLOOKUP(E59,'Dự thu chiết khấu'!$L$3:$AW$226,38,0))),"TẶNG",""),"")</f>
        <v/>
      </c>
      <c r="AC59" s="49">
        <f t="shared" si="5"/>
        <v>12493637.090909086</v>
      </c>
      <c r="AD59" s="11">
        <f>IFERROR(VLOOKUP(E59,'Dự thu chiết khấu'!$L$3:$AM$226,28,0),0)</f>
        <v>0</v>
      </c>
      <c r="AE59" s="11">
        <f>IFERROR(VLOOKUP(E59,'Dự thu chiết khấu'!$L$3:$AN$226,29,0),0)</f>
        <v>0</v>
      </c>
      <c r="AF59" s="11">
        <f>IFERROR(VLOOKUP(E59,'Dự thu chiết khấu'!$L$3:$AO$226,30,0),0)</f>
        <v>0</v>
      </c>
    </row>
    <row r="60" spans="1:32">
      <c r="A60">
        <v>54</v>
      </c>
      <c r="B60" t="str">
        <f>IFERROR(INDEX('Dự thu chiết khấu'!$E:$E,MATCH(E60,'Dự thu chiết khấu'!$L:$L,0)),"")</f>
        <v>Phạm Nguyễn Viết Khánh</v>
      </c>
      <c r="C60" s="51" t="str">
        <f>IFERROR(INDEX('Dự thu chiết khấu'!$F:$F,MATCH(E60,'Dự thu chiết khấu'!$L:$L,0)),"")</f>
        <v>Nguyễn Thị Bích Thủy</v>
      </c>
      <c r="D60" s="4" t="str">
        <f>IFERROR(INDEX('Dự thu chiết khấu'!$H:$H,MATCH(E60,'Dự thu chiết khấu'!$L:$L,0)),"")</f>
        <v>VF 3</v>
      </c>
      <c r="E60" s="4" t="str">
        <f>'Dự thu chiết khấu'!L57</f>
        <v>RLNVBL9K8TT710186</v>
      </c>
      <c r="F60" s="5" t="s">
        <v>138</v>
      </c>
      <c r="G60" s="5" t="str" cm="1">
        <f t="array" ref="G60">IFERROR(INDEX('DT-GV'!$X$6:$X$213,MATCH(1,('DT-GV'!$H$6:$H$213=E60)*('DT-GV'!$R$6:$R$213&lt;&gt;0),0)),IFERROR(VLOOKUP(E60,'DT-GV'!$H$6:$X$213,17,0),""))</f>
        <v>Q9KD</v>
      </c>
      <c r="H60" s="7" t="str">
        <f>VLOOKUP(E60,'Dự thu chiết khấu'!$L$3:$M$226,2,0)</f>
        <v>S11007</v>
      </c>
      <c r="I60">
        <v>1</v>
      </c>
      <c r="J60" s="11">
        <f>VLOOKUP(E60,'Dự thu chiết khấu'!$L$3:$P$226,5,0)</f>
        <v>315000000</v>
      </c>
      <c r="K60" s="12">
        <f t="shared" si="6"/>
        <v>18900000</v>
      </c>
      <c r="L60" s="12">
        <f t="shared" si="7"/>
        <v>0</v>
      </c>
      <c r="M60" s="13">
        <f>IFERROR(VLOOKUP(E60,'Dự thu chiết khấu'!$L$3:$R$226,7,0),0)</f>
        <v>0</v>
      </c>
      <c r="N60" s="14">
        <f>IFERROR(VLOOKUP(E60,'Dự thu chiết khấu'!$L$3:$S$226,8,0),0)</f>
        <v>0</v>
      </c>
      <c r="O60" s="11">
        <f>IF(IFERROR(VLOOKUP(E60,'Dự thu chiết khấu'!$L$3:$T$226,9,0),0)&gt;0,J60*$O$5,0)</f>
        <v>0</v>
      </c>
      <c r="P60" s="13">
        <f>IFERROR(VLOOKUP(E60,'Dự thu chiết khấu'!$L$3:$U$226,10,0),0)</f>
        <v>0</v>
      </c>
      <c r="Q60" s="12">
        <f>IFERROR(VLOOKUP(E60,'Dự thu chiết khấu'!$L$3:$V$226,11,0),0)</f>
        <v>0</v>
      </c>
      <c r="R60" s="12">
        <f>VLOOKUP($E60,'Dự thu chiết khấu'!$L$3:$W$226,12,0)</f>
        <v>6000000</v>
      </c>
      <c r="S60" s="12">
        <f t="shared" si="3"/>
        <v>263727272.72727272</v>
      </c>
      <c r="T60" s="11">
        <f t="shared" si="4"/>
        <v>-0.27272728085517883</v>
      </c>
      <c r="U60" s="15">
        <f>SUMIFS('DT-GV'!$N$6:$N$213,'DT-GV'!$H$6:$H$213,E60,'DT-GV'!$R$6:$R$213,"&lt;&gt;0")</f>
        <v>263727273</v>
      </c>
      <c r="V60" s="48">
        <f>SUMIFS('DT-GV'!$N$6:$N$213,'DT-GV'!$H$6:$H$213,E60,'DT-GV'!$R$6:$R$213,0)</f>
        <v>0</v>
      </c>
      <c r="W60" s="15">
        <f>-SUMIFS('DT-GV'!$R$6:$R$213,'DT-GV'!$H$6:$H$213,E60)</f>
        <v>-274909091</v>
      </c>
      <c r="X60" s="11">
        <f>IFERROR(VLOOKUP($E60,'Dự thu chiết khấu'!$L$3:$AK$226,26,0)/1.1,0)</f>
        <v>16494545.454545453</v>
      </c>
      <c r="Y60" s="11">
        <f>IFERROR(VLOOKUP($E60,'Dự thu chiết khấu'!$L$3:$BE$226,46,0)/1.1,0)</f>
        <v>2691818.1818181816</v>
      </c>
      <c r="Z60" s="11">
        <f>-SUMIF('Lương năng suất'!$R$4:$R$208,E60,'Lương năng suất'!$AQ$4:$AQ$208)</f>
        <v>-1500000</v>
      </c>
      <c r="AA60" s="213" t="str">
        <f>IFERROR(IF(ISNUMBER(SEARCH("TẶNG",VLOOKUP(E60,'Dự thu chiết khấu'!$L$3:$AV$226,37,0))),"TẶNG",""),"")</f>
        <v/>
      </c>
      <c r="AB60" s="213" t="str">
        <f>IFERROR(IF(ISNUMBER(SEARCH("TẶNG",VLOOKUP(E60,'Dự thu chiết khấu'!$L$3:$AW$226,38,0))),"TẶNG",""),"")</f>
        <v/>
      </c>
      <c r="AC60" s="49">
        <f t="shared" si="5"/>
        <v>6504545.6363636348</v>
      </c>
      <c r="AD60" s="11">
        <f>IFERROR(VLOOKUP(E60,'Dự thu chiết khấu'!$L$3:$AM$226,28,0),0)</f>
        <v>0</v>
      </c>
      <c r="AE60" s="11">
        <f>IFERROR(VLOOKUP(E60,'Dự thu chiết khấu'!$L$3:$AN$226,29,0),0)</f>
        <v>0</v>
      </c>
      <c r="AF60" s="11">
        <f>IFERROR(VLOOKUP(E60,'Dự thu chiết khấu'!$L$3:$AO$226,30,0),0)</f>
        <v>0</v>
      </c>
    </row>
    <row r="61" spans="1:32">
      <c r="A61" s="11">
        <v>55</v>
      </c>
      <c r="B61" t="str">
        <f>IFERROR(INDEX('Dự thu chiết khấu'!$E:$E,MATCH(E61,'Dự thu chiết khấu'!$L:$L,0)),"")</f>
        <v>Nguyễn Văn Bình</v>
      </c>
      <c r="C61" s="51" t="str">
        <f>IFERROR(INDEX('Dự thu chiết khấu'!$F:$F,MATCH(E61,'Dự thu chiết khấu'!$L:$L,0)),"")</f>
        <v>Nguyễn Thúy Hồng Nguyên</v>
      </c>
      <c r="D61" s="4" t="str">
        <f>IFERROR(INDEX('Dự thu chiết khấu'!$H:$H,MATCH(E61,'Dự thu chiết khấu'!$L:$L,0)),"")</f>
        <v>VF 3</v>
      </c>
      <c r="E61" s="4" t="str">
        <f>'Dự thu chiết khấu'!L58</f>
        <v>RLNVBL9K9TT713372</v>
      </c>
      <c r="F61" s="5" t="s">
        <v>138</v>
      </c>
      <c r="G61" s="5" t="str" cm="1">
        <f t="array" ref="G61">IFERROR(INDEX('DT-GV'!$X$6:$X$213,MATCH(1,('DT-GV'!$H$6:$H$213=E61)*('DT-GV'!$R$6:$R$213&lt;&gt;0),0)),IFERROR(VLOOKUP(E61,'DT-GV'!$H$6:$X$213,17,0),""))</f>
        <v>Q9KD</v>
      </c>
      <c r="H61" s="6" t="str">
        <f>VLOOKUP(E61,'Dự thu chiết khấu'!$L$3:$M$226,2,0)</f>
        <v>S11007</v>
      </c>
      <c r="I61">
        <v>1</v>
      </c>
      <c r="J61" s="11">
        <f>VLOOKUP(E61,'Dự thu chiết khấu'!$L$3:$P$226,5,0)</f>
        <v>315000000</v>
      </c>
      <c r="K61" s="12">
        <f t="shared" si="6"/>
        <v>18900000</v>
      </c>
      <c r="L61" s="12">
        <f t="shared" si="7"/>
        <v>0</v>
      </c>
      <c r="M61" s="13">
        <f>IFERROR(VLOOKUP(E61,'Dự thu chiết khấu'!$L$3:$R$226,7,0),0)</f>
        <v>0</v>
      </c>
      <c r="N61" s="14">
        <f>IFERROR(VLOOKUP(E61,'Dự thu chiết khấu'!$L$3:$S$226,8,0),0)</f>
        <v>0</v>
      </c>
      <c r="O61" s="11">
        <f>IF(IFERROR(VLOOKUP(E61,'Dự thu chiết khấu'!$L$3:$T$226,9,0),0)&gt;0,J61*$O$5,0)</f>
        <v>0</v>
      </c>
      <c r="P61" s="13">
        <f>IFERROR(VLOOKUP(E61,'Dự thu chiết khấu'!$L$3:$U$226,10,0),0)</f>
        <v>0</v>
      </c>
      <c r="Q61" s="12">
        <f>IFERROR(VLOOKUP(E61,'Dự thu chiết khấu'!$L$3:$V$226,11,0),0)</f>
        <v>0</v>
      </c>
      <c r="R61" s="12">
        <f>VLOOKUP($E61,'Dự thu chiết khấu'!$L$3:$W$226,12,0)</f>
        <v>6000000</v>
      </c>
      <c r="S61" s="12">
        <f t="shared" si="3"/>
        <v>263727272.72727272</v>
      </c>
      <c r="T61" s="11">
        <f t="shared" si="4"/>
        <v>-0.27272728085517883</v>
      </c>
      <c r="U61" s="15">
        <f>SUMIFS('DT-GV'!$N$6:$N$213,'DT-GV'!$H$6:$H$213,E61,'DT-GV'!$R$6:$R$213,"&lt;&gt;0")</f>
        <v>263727273</v>
      </c>
      <c r="V61" s="48">
        <f>SUMIFS('DT-GV'!$N$6:$N$213,'DT-GV'!$H$6:$H$213,E61,'DT-GV'!$R$6:$R$213,0)</f>
        <v>0</v>
      </c>
      <c r="W61" s="15">
        <f>-SUMIFS('DT-GV'!$R$6:$R$213,'DT-GV'!$H$6:$H$213,E61)</f>
        <v>-274909091</v>
      </c>
      <c r="X61" s="11">
        <f>IFERROR(VLOOKUP($E61,'Dự thu chiết khấu'!$L$3:$AK$226,26,0)/1.1,0)</f>
        <v>16494545.454545453</v>
      </c>
      <c r="Y61" s="11">
        <f>IFERROR(VLOOKUP($E61,'Dự thu chiết khấu'!$L$3:$BE$226,46,0)/1.1,0)</f>
        <v>2691818.1818181816</v>
      </c>
      <c r="Z61" s="11">
        <f>-SUMIF('Lương năng suất'!$R$4:$R$208,E61,'Lương năng suất'!$AQ$4:$AQ$208)</f>
        <v>-2000000</v>
      </c>
      <c r="AA61" s="213" t="str">
        <f>IFERROR(IF(ISNUMBER(SEARCH("TẶNG",VLOOKUP(E61,'Dự thu chiết khấu'!$L$3:$AV$226,37,0))),"TẶNG",""),"")</f>
        <v/>
      </c>
      <c r="AB61" s="213" t="str">
        <f>IFERROR(IF(ISNUMBER(SEARCH("TẶNG",VLOOKUP(E61,'Dự thu chiết khấu'!$L$3:$AW$226,38,0))),"TẶNG",""),"")</f>
        <v/>
      </c>
      <c r="AC61" s="49">
        <f t="shared" si="5"/>
        <v>6004545.6363636348</v>
      </c>
      <c r="AD61" s="11">
        <f>IFERROR(VLOOKUP(E61,'Dự thu chiết khấu'!$L$3:$AM$226,28,0),0)</f>
        <v>0</v>
      </c>
      <c r="AE61" s="11">
        <f>IFERROR(VLOOKUP(E61,'Dự thu chiết khấu'!$L$3:$AN$226,29,0),0)</f>
        <v>0</v>
      </c>
      <c r="AF61" s="11">
        <f>IFERROR(VLOOKUP(E61,'Dự thu chiết khấu'!$L$3:$AO$226,30,0),0)</f>
        <v>0</v>
      </c>
    </row>
    <row r="62" spans="1:32">
      <c r="A62">
        <v>56</v>
      </c>
      <c r="B62" t="str">
        <f>IFERROR(INDEX('Dự thu chiết khấu'!$E:$E,MATCH(E62,'Dự thu chiết khấu'!$L:$L,0)),"")</f>
        <v>Phạm Hoàng Long</v>
      </c>
      <c r="C62" s="51" t="str">
        <f>IFERROR(INDEX('Dự thu chiết khấu'!$F:$F,MATCH(E62,'Dự thu chiết khấu'!$L:$L,0)),"")</f>
        <v>Nguyễn Ngọc Phượng</v>
      </c>
      <c r="D62" s="4" t="str">
        <f>IFERROR(INDEX('Dự thu chiết khấu'!$H:$H,MATCH(E62,'Dự thu chiết khấu'!$L:$L,0)),"")</f>
        <v>LIMO GREEN</v>
      </c>
      <c r="E62" s="4" t="str">
        <f>'Dự thu chiết khấu'!L59</f>
        <v>RLLVFPNT3TH742839</v>
      </c>
      <c r="F62" s="5" t="s">
        <v>138</v>
      </c>
      <c r="G62" s="5" t="str" cm="1">
        <f t="array" ref="G62">IFERROR(INDEX('DT-GV'!$X$6:$X$213,MATCH(1,('DT-GV'!$H$6:$H$213=E62)*('DT-GV'!$R$6:$R$213&lt;&gt;0),0)),IFERROR(VLOOKUP(E62,'DT-GV'!$H$6:$X$213,17,0),""))</f>
        <v>Q9KD</v>
      </c>
      <c r="H62" s="8" t="str">
        <f>VLOOKUP(E62,'Dự thu chiết khấu'!$L$3:$M$226,2,0)</f>
        <v>S11007</v>
      </c>
      <c r="I62">
        <v>1</v>
      </c>
      <c r="J62" s="11">
        <f>VLOOKUP(E62,'Dự thu chiết khấu'!$L$3:$P$226,5,0)</f>
        <v>749000000</v>
      </c>
      <c r="K62" s="12">
        <f t="shared" si="6"/>
        <v>44940000</v>
      </c>
      <c r="L62" s="12">
        <f t="shared" si="7"/>
        <v>0</v>
      </c>
      <c r="M62" s="13">
        <f>IFERROR(VLOOKUP(E62,'Dự thu chiết khấu'!$L$3:$R$226,7,0),0)</f>
        <v>0</v>
      </c>
      <c r="N62" s="14">
        <f>IFERROR(VLOOKUP(E62,'Dự thu chiết khấu'!$L$3:$S$226,8,0),0)</f>
        <v>0</v>
      </c>
      <c r="O62" s="11">
        <f>IF(IFERROR(VLOOKUP(E62,'Dự thu chiết khấu'!$L$3:$T$226,9,0),0)&gt;0,J62*$O$5,0)</f>
        <v>22470000</v>
      </c>
      <c r="P62" s="13">
        <f>IFERROR(VLOOKUP(E62,'Dự thu chiết khấu'!$L$3:$U$226,10,0),0)</f>
        <v>0</v>
      </c>
      <c r="Q62" s="12">
        <f>IFERROR(VLOOKUP(E62,'Dự thu chiết khấu'!$L$3:$V$226,11,0),0)</f>
        <v>0</v>
      </c>
      <c r="R62" s="12">
        <f>VLOOKUP($E62,'Dự thu chiết khấu'!$L$3:$W$226,12,0)</f>
        <v>0</v>
      </c>
      <c r="S62" s="12">
        <f t="shared" si="3"/>
        <v>619627272.72727263</v>
      </c>
      <c r="T62" s="11">
        <f t="shared" si="4"/>
        <v>-0.272727370262146</v>
      </c>
      <c r="U62" s="15">
        <f>SUMIFS('DT-GV'!$N$6:$N$213,'DT-GV'!$H$6:$H$213,E62,'DT-GV'!$R$6:$R$213,"&lt;&gt;0")</f>
        <v>619627273</v>
      </c>
      <c r="V62" s="48">
        <f>SUMIFS('DT-GV'!$N$6:$N$213,'DT-GV'!$H$6:$H$213,E62,'DT-GV'!$R$6:$R$213,0)</f>
        <v>0</v>
      </c>
      <c r="W62" s="15">
        <f>-SUMIFS('DT-GV'!$R$6:$R$213,'DT-GV'!$H$6:$H$213,E62)</f>
        <v>-653672727</v>
      </c>
      <c r="X62" s="11">
        <f>IFERROR(VLOOKUP($E62,'Dự thu chiết khấu'!$L$3:$AK$226,26,0)/1.1,0)</f>
        <v>58830545.454545453</v>
      </c>
      <c r="Y62" s="11">
        <f>IFERROR(VLOOKUP($E62,'Dự thu chiết khấu'!$L$3:$BE$226,46,0)/1.1,0)</f>
        <v>6196272.7272727266</v>
      </c>
      <c r="Z62" s="11">
        <f>-SUMIF('Lương năng suất'!$R$4:$R$208,E62,'Lương năng suất'!$AQ$4:$AQ$208)</f>
        <v>-15200000</v>
      </c>
      <c r="AA62" s="213" t="str">
        <f>IFERROR(IF(ISNUMBER(SEARCH("TẶNG",VLOOKUP(E62,'Dự thu chiết khấu'!$L$3:$AV$226,37,0))),"TẶNG",""),"")</f>
        <v/>
      </c>
      <c r="AB62" s="213" t="str">
        <f>IFERROR(IF(ISNUMBER(SEARCH("TẶNG",VLOOKUP(E62,'Dự thu chiết khấu'!$L$3:$AW$226,38,0))),"TẶNG",""),"")</f>
        <v/>
      </c>
      <c r="AC62" s="49">
        <f t="shared" si="5"/>
        <v>15781364.18181818</v>
      </c>
      <c r="AD62" s="11">
        <f>IFERROR(VLOOKUP(E62,'Dự thu chiết khấu'!$L$3:$AM$226,28,0),0)</f>
        <v>0</v>
      </c>
      <c r="AE62" s="11">
        <f>IFERROR(VLOOKUP(E62,'Dự thu chiết khấu'!$L$3:$AN$226,29,0),0)</f>
        <v>0</v>
      </c>
      <c r="AF62" s="11">
        <f>IFERROR(VLOOKUP(E62,'Dự thu chiết khấu'!$L$3:$AO$226,30,0),0)</f>
        <v>0</v>
      </c>
    </row>
    <row r="63" spans="1:32">
      <c r="A63" s="11">
        <v>57</v>
      </c>
      <c r="B63" t="str">
        <f>IFERROR(INDEX('Dự thu chiết khấu'!$E:$E,MATCH(E63,'Dự thu chiết khấu'!$L:$L,0)),"")</f>
        <v>Vòng Tạt Lình</v>
      </c>
      <c r="C63" s="51" t="str">
        <f>IFERROR(INDEX('Dự thu chiết khấu'!$F:$F,MATCH(E63,'Dự thu chiết khấu'!$L:$L,0)),"")</f>
        <v>Nguyễn Duy Ngọc Quỳnh</v>
      </c>
      <c r="D63" s="4" t="str">
        <f>IFERROR(INDEX('Dự thu chiết khấu'!$H:$H,MATCH(E63,'Dự thu chiết khấu'!$L:$L,0)),"")</f>
        <v>LIMO GREEN</v>
      </c>
      <c r="E63" s="4" t="str">
        <f>'Dự thu chiết khấu'!L60</f>
        <v>RLLVFPNT7TH712291</v>
      </c>
      <c r="F63" s="5" t="s">
        <v>138</v>
      </c>
      <c r="G63" s="5" t="str" cm="1">
        <f t="array" ref="G63">IFERROR(INDEX('DT-GV'!$X$6:$X$213,MATCH(1,('DT-GV'!$H$6:$H$213=E63)*('DT-GV'!$R$6:$R$213&lt;&gt;0),0)),IFERROR(VLOOKUP(E63,'DT-GV'!$H$6:$X$213,17,0),""))</f>
        <v>Q9KD</v>
      </c>
      <c r="H63" s="6" t="str">
        <f>VLOOKUP(E63,'Dự thu chiết khấu'!$L$3:$M$226,2,0)</f>
        <v>S11007</v>
      </c>
      <c r="I63">
        <v>1</v>
      </c>
      <c r="J63" s="11">
        <f>VLOOKUP(E63,'Dự thu chiết khấu'!$L$3:$P$226,5,0)</f>
        <v>749000000</v>
      </c>
      <c r="K63" s="12">
        <f t="shared" si="6"/>
        <v>44940000</v>
      </c>
      <c r="L63" s="12">
        <f t="shared" si="7"/>
        <v>0</v>
      </c>
      <c r="M63" s="13">
        <f>IFERROR(VLOOKUP(E63,'Dự thu chiết khấu'!$L$3:$R$226,7,0),0)</f>
        <v>0</v>
      </c>
      <c r="N63" s="14">
        <f>IFERROR(VLOOKUP(E63,'Dự thu chiết khấu'!$L$3:$S$226,8,0),0)</f>
        <v>0</v>
      </c>
      <c r="O63" s="11">
        <f>IF(IFERROR(VLOOKUP(E63,'Dự thu chiết khấu'!$L$3:$T$226,9,0),0)&gt;0,J63*$O$5,0)</f>
        <v>0</v>
      </c>
      <c r="P63" s="13">
        <f>IFERROR(VLOOKUP(E63,'Dự thu chiết khấu'!$L$3:$U$226,10,0),0)</f>
        <v>0</v>
      </c>
      <c r="Q63" s="12">
        <f>IFERROR(VLOOKUP(E63,'Dự thu chiết khấu'!$L$3:$V$226,11,0),0)</f>
        <v>0</v>
      </c>
      <c r="R63" s="12">
        <f>VLOOKUP($E63,'Dự thu chiết khấu'!$L$3:$W$226,12,0)</f>
        <v>10000000</v>
      </c>
      <c r="S63" s="12">
        <f t="shared" si="3"/>
        <v>630963636.36363626</v>
      </c>
      <c r="T63" s="11">
        <f t="shared" si="4"/>
        <v>0.36363625526428223</v>
      </c>
      <c r="U63" s="15">
        <f>SUMIFS('DT-GV'!$N$6:$N$213,'DT-GV'!$H$6:$H$213,E63,'DT-GV'!$R$6:$R$213,"&lt;&gt;0")</f>
        <v>630963636</v>
      </c>
      <c r="V63" s="48">
        <f>SUMIFS('DT-GV'!$N$6:$N$213,'DT-GV'!$H$6:$H$213,E63,'DT-GV'!$R$6:$R$213,0)</f>
        <v>0</v>
      </c>
      <c r="W63" s="15">
        <f>-SUMIFS('DT-GV'!$R$6:$R$213,'DT-GV'!$H$6:$H$213,E63)</f>
        <v>-653672727</v>
      </c>
      <c r="X63" s="11">
        <f>IFERROR(VLOOKUP($E63,'Dự thu chiết khấu'!$L$3:$AK$226,26,0)/1.1,0)</f>
        <v>39220363.636363633</v>
      </c>
      <c r="Y63" s="11">
        <f>IFERROR(VLOOKUP($E63,'Dự thu chiết khấu'!$L$3:$BE$226,46,0)/1.1,0)</f>
        <v>6400545.4545454541</v>
      </c>
      <c r="Z63" s="11">
        <f>-SUMIF('Lương năng suất'!$R$4:$R$208,E63,'Lương năng suất'!$AQ$4:$AQ$208)</f>
        <v>-10200000</v>
      </c>
      <c r="AA63" s="213" t="str">
        <f>IFERROR(IF(ISNUMBER(SEARCH("TẶNG",VLOOKUP(E63,'Dự thu chiết khấu'!$L$3:$AV$226,37,0))),"TẶNG",""),"")</f>
        <v/>
      </c>
      <c r="AB63" s="213" t="str">
        <f>IFERROR(IF(ISNUMBER(SEARCH("TẶNG",VLOOKUP(E63,'Dự thu chiết khấu'!$L$3:$AW$226,38,0))),"TẶNG",""),"")</f>
        <v/>
      </c>
      <c r="AC63" s="49">
        <f t="shared" si="5"/>
        <v>12711818.090909086</v>
      </c>
      <c r="AD63" s="11">
        <f>IFERROR(VLOOKUP(E63,'Dự thu chiết khấu'!$L$3:$AM$226,28,0),0)</f>
        <v>0</v>
      </c>
      <c r="AE63" s="11">
        <f>IFERROR(VLOOKUP(E63,'Dự thu chiết khấu'!$L$3:$AN$226,29,0),0)</f>
        <v>0</v>
      </c>
      <c r="AF63" s="11">
        <f>IFERROR(VLOOKUP(E63,'Dự thu chiết khấu'!$L$3:$AO$226,30,0),0)</f>
        <v>0</v>
      </c>
    </row>
    <row r="64" spans="1:32">
      <c r="A64">
        <v>58</v>
      </c>
      <c r="B64" t="str">
        <f>IFERROR(INDEX('Dự thu chiết khấu'!$E:$E,MATCH(E64,'Dự thu chiết khấu'!$L:$L,0)),"")</f>
        <v>Nguyễn Trần Quốc Duy</v>
      </c>
      <c r="C64" s="51" t="str">
        <f>IFERROR(INDEX('Dự thu chiết khấu'!$F:$F,MATCH(E64,'Dự thu chiết khấu'!$L:$L,0)),"")</f>
        <v>Phạm Thị Thanh Vân</v>
      </c>
      <c r="D64" s="4" t="str">
        <f>IFERROR(INDEX('Dự thu chiết khấu'!$H:$H,MATCH(E64,'Dự thu chiết khấu'!$L:$L,0)),"")</f>
        <v>LIMO GREEN</v>
      </c>
      <c r="E64" s="4" t="str">
        <f>'Dự thu chiết khấu'!L61</f>
        <v>RLLVFPNT2TH747241</v>
      </c>
      <c r="F64" s="5" t="s">
        <v>138</v>
      </c>
      <c r="G64" s="5" t="str" cm="1">
        <f t="array" ref="G64">IFERROR(INDEX('DT-GV'!$X$6:$X$213,MATCH(1,('DT-GV'!$H$6:$H$213=E64)*('DT-GV'!$R$6:$R$213&lt;&gt;0),0)),IFERROR(VLOOKUP(E64,'DT-GV'!$H$6:$X$213,17,0),""))</f>
        <v>Q9KD</v>
      </c>
      <c r="H64" s="6" t="str">
        <f>VLOOKUP(E64,'Dự thu chiết khấu'!$L$3:$M$226,2,0)</f>
        <v>S11007</v>
      </c>
      <c r="I64">
        <v>1</v>
      </c>
      <c r="J64" s="11">
        <f>VLOOKUP(E64,'Dự thu chiết khấu'!$L$3:$P$226,5,0)</f>
        <v>749000000</v>
      </c>
      <c r="K64" s="12">
        <f t="shared" si="6"/>
        <v>44940000</v>
      </c>
      <c r="L64" s="12">
        <f t="shared" si="7"/>
        <v>0</v>
      </c>
      <c r="M64" s="13">
        <f>IFERROR(VLOOKUP(E64,'Dự thu chiết khấu'!$L$3:$R$226,7,0),0)</f>
        <v>0</v>
      </c>
      <c r="N64" s="14">
        <f>IFERROR(VLOOKUP(E64,'Dự thu chiết khấu'!$L$3:$S$226,8,0),0)</f>
        <v>0</v>
      </c>
      <c r="O64" s="11">
        <f>IF(IFERROR(VLOOKUP(E64,'Dự thu chiết khấu'!$L$3:$T$226,9,0),0)&gt;0,J64*$O$5,0)</f>
        <v>0</v>
      </c>
      <c r="P64" s="13">
        <f>IFERROR(VLOOKUP(E64,'Dự thu chiết khấu'!$L$3:$U$226,10,0),0)</f>
        <v>0</v>
      </c>
      <c r="Q64" s="16">
        <f>IFERROR(VLOOKUP(E64,'Dự thu chiết khấu'!$L$3:$V$226,11,0),0)</f>
        <v>0</v>
      </c>
      <c r="R64" s="12">
        <f>VLOOKUP($E64,'Dự thu chiết khấu'!$L$3:$W$226,12,0)</f>
        <v>3000000</v>
      </c>
      <c r="S64" s="12">
        <f t="shared" si="3"/>
        <v>637327272.72727263</v>
      </c>
      <c r="T64" s="11">
        <f t="shared" si="4"/>
        <v>-0.272727370262146</v>
      </c>
      <c r="U64" s="15">
        <f>SUMIFS('DT-GV'!$N$6:$N$213,'DT-GV'!$H$6:$H$213,E64,'DT-GV'!$R$6:$R$213,"&lt;&gt;0")</f>
        <v>637327273</v>
      </c>
      <c r="V64" s="48">
        <f>SUMIFS('DT-GV'!$N$6:$N$213,'DT-GV'!$H$6:$H$213,E64,'DT-GV'!$R$6:$R$213,0)</f>
        <v>0</v>
      </c>
      <c r="W64" s="15">
        <f>-SUMIFS('DT-GV'!$R$6:$R$213,'DT-GV'!$H$6:$H$213,E64)</f>
        <v>-653672727</v>
      </c>
      <c r="X64" s="11">
        <f>IFERROR(VLOOKUP($E64,'Dự thu chiết khấu'!$L$3:$AK$226,26,0)/1.1,0)</f>
        <v>39220363.636363633</v>
      </c>
      <c r="Y64" s="11">
        <f>IFERROR(VLOOKUP($E64,'Dự thu chiết khấu'!$L$3:$BE$226,46,0)/1.1,0)</f>
        <v>6400545.4545454541</v>
      </c>
      <c r="Z64" s="11">
        <f>-SUMIF('Lương năng suất'!$R$4:$R$208,E64,'Lương năng suất'!$AQ$4:$AQ$208)</f>
        <v>-9600000</v>
      </c>
      <c r="AA64" s="213" t="str">
        <f>IFERROR(IF(ISNUMBER(SEARCH("TẶNG",VLOOKUP(E64,'Dự thu chiết khấu'!$L$3:$AV$226,37,0))),"TẶNG",""),"")</f>
        <v/>
      </c>
      <c r="AB64" s="213" t="str">
        <f>IFERROR(IF(ISNUMBER(SEARCH("TẶNG",VLOOKUP(E64,'Dự thu chiết khấu'!$L$3:$AW$226,38,0))),"TẶNG",""),"")</f>
        <v/>
      </c>
      <c r="AC64" s="49">
        <f t="shared" si="5"/>
        <v>19675455.090909086</v>
      </c>
      <c r="AD64" s="11">
        <f>IFERROR(VLOOKUP(E64,'Dự thu chiết khấu'!$L$3:$AM$226,28,0),0)</f>
        <v>0</v>
      </c>
      <c r="AE64" s="11">
        <f>IFERROR(VLOOKUP(E64,'Dự thu chiết khấu'!$L$3:$AN$226,29,0),0)</f>
        <v>0</v>
      </c>
      <c r="AF64" s="11">
        <f>IFERROR(VLOOKUP(E64,'Dự thu chiết khấu'!$L$3:$AO$226,30,0),0)</f>
        <v>0</v>
      </c>
    </row>
    <row r="65" spans="1:32" ht="34.5">
      <c r="A65" s="11">
        <v>59</v>
      </c>
      <c r="B65" t="str">
        <f>IFERROR(INDEX('Dự thu chiết khấu'!$E:$E,MATCH(E65,'Dự thu chiết khấu'!$L:$L,0)),"")</f>
        <v>Phạm Hoàng Long</v>
      </c>
      <c r="C65" s="51" t="str">
        <f>IFERROR(INDEX('Dự thu chiết khấu'!$F:$F,MATCH(E65,'Dự thu chiết khấu'!$L:$L,0)),"")</f>
        <v>Công ty Cổ Phần Phân Phối Sản Phẩm Công Nghệ Cao Dầu Khí</v>
      </c>
      <c r="D65" s="4" t="str">
        <f>IFERROR(INDEX('Dự thu chiết khấu'!$H:$H,MATCH(E65,'Dự thu chiết khấu'!$L:$L,0)),"")</f>
        <v>VF 3</v>
      </c>
      <c r="E65" s="4" t="str">
        <f>'Dự thu chiết khấu'!L62</f>
        <v>RLNVBL9K3TT711875</v>
      </c>
      <c r="F65" s="5" t="s">
        <v>138</v>
      </c>
      <c r="G65" s="5" t="str" cm="1">
        <f t="array" ref="G65">IFERROR(INDEX('DT-GV'!$X$6:$X$213,MATCH(1,('DT-GV'!$H$6:$H$213=E65)*('DT-GV'!$R$6:$R$213&lt;&gt;0),0)),IFERROR(VLOOKUP(E65,'DT-GV'!$H$6:$X$213,17,0),""))</f>
        <v>Q9KD</v>
      </c>
      <c r="H65" s="7" t="str">
        <f>VLOOKUP(E65,'Dự thu chiết khấu'!$L$3:$M$226,2,0)</f>
        <v>S11007</v>
      </c>
      <c r="I65">
        <v>1</v>
      </c>
      <c r="J65" s="11">
        <f>VLOOKUP(E65,'Dự thu chiết khấu'!$L$3:$P$226,5,0)</f>
        <v>315000000</v>
      </c>
      <c r="K65" s="12">
        <f t="shared" si="6"/>
        <v>18900000</v>
      </c>
      <c r="L65" s="12">
        <f t="shared" si="7"/>
        <v>0</v>
      </c>
      <c r="M65" s="13">
        <f>IFERROR(VLOOKUP(E65,'Dự thu chiết khấu'!$L$3:$R$226,7,0),0)</f>
        <v>0</v>
      </c>
      <c r="N65" s="14">
        <f>IFERROR(VLOOKUP(E65,'Dự thu chiết khấu'!$L$3:$S$226,8,0),0)</f>
        <v>0</v>
      </c>
      <c r="O65" s="11">
        <f>IF(IFERROR(VLOOKUP(E65,'Dự thu chiết khấu'!$L$3:$T$226,9,0),0)&gt;0,J65*$O$5,0)</f>
        <v>0</v>
      </c>
      <c r="P65" s="13">
        <f>IFERROR(VLOOKUP(E65,'Dự thu chiết khấu'!$L$3:$U$226,10,0),0)</f>
        <v>0</v>
      </c>
      <c r="Q65" s="12">
        <f>IFERROR(VLOOKUP(E65,'Dự thu chiết khấu'!$L$3:$V$226,11,0),0)</f>
        <v>0</v>
      </c>
      <c r="R65" s="12">
        <f>VLOOKUP($E65,'Dự thu chiết khấu'!$L$3:$W$226,12,0)</f>
        <v>0</v>
      </c>
      <c r="S65" s="12">
        <f t="shared" si="3"/>
        <v>269181818.18181819</v>
      </c>
      <c r="T65" s="11">
        <f t="shared" si="4"/>
        <v>0.18181818723678589</v>
      </c>
      <c r="U65" s="15">
        <f>SUMIFS('DT-GV'!$N$6:$N$213,'DT-GV'!$H$6:$H$213,E65,'DT-GV'!$R$6:$R$213,"&lt;&gt;0")</f>
        <v>269181818</v>
      </c>
      <c r="V65" s="48">
        <f>SUMIFS('DT-GV'!$N$6:$N$213,'DT-GV'!$H$6:$H$213,E65,'DT-GV'!$R$6:$R$213,0)</f>
        <v>0</v>
      </c>
      <c r="W65" s="15">
        <f>-SUMIFS('DT-GV'!$R$6:$R$213,'DT-GV'!$H$6:$H$213,E65)</f>
        <v>-274909091</v>
      </c>
      <c r="X65" s="11">
        <f>IFERROR(VLOOKUP($E65,'Dự thu chiết khấu'!$L$3:$AK$226,26,0)/1.1,0)</f>
        <v>16494545.454545453</v>
      </c>
      <c r="Y65" s="11">
        <f>IFERROR(VLOOKUP($E65,'Dự thu chiết khấu'!$L$3:$BE$226,46,0)/1.1,0)</f>
        <v>2691818.1818181816</v>
      </c>
      <c r="Z65" s="11">
        <f>-SUMIF('Lương năng suất'!$R$4:$R$208,E65,'Lương năng suất'!$AQ$4:$AQ$208)</f>
        <v>-6800000</v>
      </c>
      <c r="AA65" s="213" t="str">
        <f>IFERROR(IF(ISNUMBER(SEARCH("TẶNG",VLOOKUP(E65,'Dự thu chiết khấu'!$L$3:$AV$226,37,0))),"TẶNG",""),"")</f>
        <v/>
      </c>
      <c r="AB65" s="213" t="str">
        <f>IFERROR(IF(ISNUMBER(SEARCH("TẶNG",VLOOKUP(E65,'Dự thu chiết khấu'!$L$3:$AW$226,38,0))),"TẶNG",""),"")</f>
        <v/>
      </c>
      <c r="AC65" s="49">
        <f t="shared" si="5"/>
        <v>6659090.6363636348</v>
      </c>
      <c r="AD65" s="11">
        <f>IFERROR(VLOOKUP(E65,'Dự thu chiết khấu'!$L$3:$AM$226,28,0),0)</f>
        <v>0</v>
      </c>
      <c r="AE65" s="11">
        <f>IFERROR(VLOOKUP(E65,'Dự thu chiết khấu'!$L$3:$AN$226,29,0),0)</f>
        <v>0</v>
      </c>
      <c r="AF65" s="11">
        <f>IFERROR(VLOOKUP(E65,'Dự thu chiết khấu'!$L$3:$AO$226,30,0),0)</f>
        <v>0</v>
      </c>
    </row>
    <row r="66" spans="1:32" ht="34.5">
      <c r="A66">
        <v>60</v>
      </c>
      <c r="B66" t="str">
        <f>IFERROR(INDEX('Dự thu chiết khấu'!$E:$E,MATCH(E66,'Dự thu chiết khấu'!$L:$L,0)),"")</f>
        <v>Phạm Hoàng Long</v>
      </c>
      <c r="C66" s="51" t="str">
        <f>IFERROR(INDEX('Dự thu chiết khấu'!$F:$F,MATCH(E66,'Dự thu chiết khấu'!$L:$L,0)),"")</f>
        <v>Công ty Cổ Phần Phân Phối Sản Phẩm Công Nghệ Cao Dầu Khí</v>
      </c>
      <c r="D66" s="4" t="str">
        <f>IFERROR(INDEX('Dự thu chiết khấu'!$H:$H,MATCH(E66,'Dự thu chiết khấu'!$L:$L,0)),"")</f>
        <v>VF 3</v>
      </c>
      <c r="E66" s="4" t="str">
        <f>'Dự thu chiết khấu'!L63</f>
        <v>RLNVBL9K2TT709020</v>
      </c>
      <c r="F66" s="5" t="s">
        <v>138</v>
      </c>
      <c r="G66" s="5" t="str" cm="1">
        <f t="array" ref="G66">IFERROR(INDEX('DT-GV'!$X$6:$X$213,MATCH(1,('DT-GV'!$H$6:$H$213=E66)*('DT-GV'!$R$6:$R$213&lt;&gt;0),0)),IFERROR(VLOOKUP(E66,'DT-GV'!$H$6:$X$213,17,0),""))</f>
        <v>Q9KD</v>
      </c>
      <c r="H66" s="6" t="str">
        <f>VLOOKUP(E66,'Dự thu chiết khấu'!$L$3:$M$226,2,0)</f>
        <v>S11007</v>
      </c>
      <c r="I66">
        <v>1</v>
      </c>
      <c r="J66" s="11">
        <f>VLOOKUP(E66,'Dự thu chiết khấu'!$L$3:$P$226,5,0)</f>
        <v>315000000</v>
      </c>
      <c r="K66" s="12">
        <f t="shared" si="6"/>
        <v>18900000</v>
      </c>
      <c r="L66" s="12">
        <f t="shared" si="7"/>
        <v>0</v>
      </c>
      <c r="M66" s="13">
        <f>IFERROR(VLOOKUP(E66,'Dự thu chiết khấu'!$L$3:$R$226,7,0),0)</f>
        <v>0</v>
      </c>
      <c r="N66" s="14">
        <f>IFERROR(VLOOKUP(E66,'Dự thu chiết khấu'!$L$3:$S$226,8,0),0)</f>
        <v>0</v>
      </c>
      <c r="O66" s="11">
        <f>IF(IFERROR(VLOOKUP(E66,'Dự thu chiết khấu'!$L$3:$T$226,9,0),0)&gt;0,J66*$O$5,0)</f>
        <v>0</v>
      </c>
      <c r="P66" s="13">
        <f>IFERROR(VLOOKUP(E66,'Dự thu chiết khấu'!$L$3:$U$226,10,0),0)</f>
        <v>0</v>
      </c>
      <c r="Q66" s="12">
        <f>IFERROR(VLOOKUP(E66,'Dự thu chiết khấu'!$L$3:$V$226,11,0),0)</f>
        <v>0</v>
      </c>
      <c r="R66" s="12">
        <f>VLOOKUP($E66,'Dự thu chiết khấu'!$L$3:$W$226,12,0)</f>
        <v>0</v>
      </c>
      <c r="S66" s="12">
        <f t="shared" si="3"/>
        <v>269181818.18181819</v>
      </c>
      <c r="T66" s="11">
        <f t="shared" si="4"/>
        <v>0.18181818723678589</v>
      </c>
      <c r="U66" s="15">
        <f>SUMIFS('DT-GV'!$N$6:$N$213,'DT-GV'!$H$6:$H$213,E66,'DT-GV'!$R$6:$R$213,"&lt;&gt;0")</f>
        <v>269181818</v>
      </c>
      <c r="V66" s="48">
        <f>SUMIFS('DT-GV'!$N$6:$N$213,'DT-GV'!$H$6:$H$213,E66,'DT-GV'!$R$6:$R$213,0)</f>
        <v>0</v>
      </c>
      <c r="W66" s="15">
        <f>-SUMIFS('DT-GV'!$R$6:$R$213,'DT-GV'!$H$6:$H$213,E66)</f>
        <v>-274909091</v>
      </c>
      <c r="X66" s="11">
        <f>IFERROR(VLOOKUP($E66,'Dự thu chiết khấu'!$L$3:$AK$226,26,0)/1.1,0)</f>
        <v>16494545.454545453</v>
      </c>
      <c r="Y66" s="11">
        <f>IFERROR(VLOOKUP($E66,'Dự thu chiết khấu'!$L$3:$BE$226,46,0)/1.1,0)</f>
        <v>2691818.1818181816</v>
      </c>
      <c r="Z66" s="11">
        <f>-SUMIF('Lương năng suất'!$R$4:$R$208,E66,'Lương năng suất'!$AQ$4:$AQ$208)</f>
        <v>-6800000</v>
      </c>
      <c r="AA66" s="213" t="str">
        <f>IFERROR(IF(ISNUMBER(SEARCH("TẶNG",VLOOKUP(E66,'Dự thu chiết khấu'!$L$3:$AV$226,37,0))),"TẶNG",""),"")</f>
        <v/>
      </c>
      <c r="AB66" s="213" t="str">
        <f>IFERROR(IF(ISNUMBER(SEARCH("TẶNG",VLOOKUP(E66,'Dự thu chiết khấu'!$L$3:$AW$226,38,0))),"TẶNG",""),"")</f>
        <v/>
      </c>
      <c r="AC66" s="49">
        <f t="shared" si="5"/>
        <v>6659090.6363636348</v>
      </c>
      <c r="AD66" s="11">
        <f>IFERROR(VLOOKUP(E66,'Dự thu chiết khấu'!$L$3:$AM$226,28,0),0)</f>
        <v>0</v>
      </c>
      <c r="AE66" s="11">
        <f>IFERROR(VLOOKUP(E66,'Dự thu chiết khấu'!$L$3:$AN$226,29,0),0)</f>
        <v>0</v>
      </c>
      <c r="AF66" s="11">
        <f>IFERROR(VLOOKUP(E66,'Dự thu chiết khấu'!$L$3:$AO$226,30,0),0)</f>
        <v>0</v>
      </c>
    </row>
    <row r="67" spans="1:32" ht="34.5">
      <c r="A67" s="11">
        <v>61</v>
      </c>
      <c r="B67" t="str">
        <f>IFERROR(INDEX('Dự thu chiết khấu'!$E:$E,MATCH(E67,'Dự thu chiết khấu'!$L:$L,0)),"")</f>
        <v>Phạm Hoàng Long</v>
      </c>
      <c r="C67" s="51" t="str">
        <f>IFERROR(INDEX('Dự thu chiết khấu'!$F:$F,MATCH(E67,'Dự thu chiết khấu'!$L:$L,0)),"")</f>
        <v>Công ty Cổ Phần Phân Phối Sản Phẩm Công Nghệ Cao Dầu Khí</v>
      </c>
      <c r="D67" s="4" t="str">
        <f>IFERROR(INDEX('Dự thu chiết khấu'!$H:$H,MATCH(E67,'Dự thu chiết khấu'!$L:$L,0)),"")</f>
        <v>VF 3</v>
      </c>
      <c r="E67" s="4" t="str">
        <f>'Dự thu chiết khấu'!L64</f>
        <v>RLNVBL9K1TT712118</v>
      </c>
      <c r="F67" s="5" t="s">
        <v>138</v>
      </c>
      <c r="G67" s="5" t="str" cm="1">
        <f t="array" ref="G67">IFERROR(INDEX('DT-GV'!$X$6:$X$213,MATCH(1,('DT-GV'!$H$6:$H$213=E67)*('DT-GV'!$R$6:$R$213&lt;&gt;0),0)),IFERROR(VLOOKUP(E67,'DT-GV'!$H$6:$X$213,17,0),""))</f>
        <v>Q9KD</v>
      </c>
      <c r="H67" s="7" t="str">
        <f>VLOOKUP(E67,'Dự thu chiết khấu'!$L$3:$M$226,2,0)</f>
        <v>S11007</v>
      </c>
      <c r="I67">
        <v>1</v>
      </c>
      <c r="J67" s="11">
        <f>VLOOKUP(E67,'Dự thu chiết khấu'!$L$3:$P$226,5,0)</f>
        <v>323000000</v>
      </c>
      <c r="K67" s="12">
        <f t="shared" si="6"/>
        <v>19380000</v>
      </c>
      <c r="L67" s="12">
        <f t="shared" si="7"/>
        <v>0</v>
      </c>
      <c r="M67" s="13">
        <f>IFERROR(VLOOKUP(E67,'Dự thu chiết khấu'!$L$3:$R$226,7,0),0)</f>
        <v>0</v>
      </c>
      <c r="N67" s="14">
        <f>IFERROR(VLOOKUP(E67,'Dự thu chiết khấu'!$L$3:$S$226,8,0),0)</f>
        <v>0</v>
      </c>
      <c r="O67" s="11">
        <f>IF(IFERROR(VLOOKUP(E67,'Dự thu chiết khấu'!$L$3:$T$226,9,0),0)&gt;0,J67*$O$5,0)</f>
        <v>0</v>
      </c>
      <c r="P67" s="13">
        <f>IFERROR(VLOOKUP(E67,'Dự thu chiết khấu'!$L$3:$U$226,10,0),0)</f>
        <v>0</v>
      </c>
      <c r="Q67" s="12">
        <f>IFERROR(VLOOKUP(E67,'Dự thu chiết khấu'!$L$3:$V$226,11,0),0)</f>
        <v>0</v>
      </c>
      <c r="R67" s="12">
        <f>VLOOKUP($E67,'Dự thu chiết khấu'!$L$3:$W$226,12,0)</f>
        <v>0</v>
      </c>
      <c r="S67" s="12">
        <f t="shared" si="3"/>
        <v>276018181.81818181</v>
      </c>
      <c r="T67" s="11">
        <f t="shared" si="4"/>
        <v>-0.18181818723678589</v>
      </c>
      <c r="U67" s="15">
        <f>SUMIFS('DT-GV'!$N$6:$N$213,'DT-GV'!$H$6:$H$213,E67,'DT-GV'!$R$6:$R$213,"&lt;&gt;0")</f>
        <v>276018182</v>
      </c>
      <c r="V67" s="48">
        <f>SUMIFS('DT-GV'!$N$6:$N$213,'DT-GV'!$H$6:$H$213,E67,'DT-GV'!$R$6:$R$213,0)</f>
        <v>0</v>
      </c>
      <c r="W67" s="15">
        <f>-SUMIFS('DT-GV'!$R$6:$R$213,'DT-GV'!$H$6:$H$213,E67)</f>
        <v>-281890909</v>
      </c>
      <c r="X67" s="11">
        <f>IFERROR(VLOOKUP($E67,'Dự thu chiết khấu'!$L$3:$AK$226,26,0)/1.1,0)</f>
        <v>16913454.545454543</v>
      </c>
      <c r="Y67" s="11">
        <f>IFERROR(VLOOKUP($E67,'Dự thu chiết khấu'!$L$3:$BE$226,46,0)/1.1,0)</f>
        <v>2760181.8181818179</v>
      </c>
      <c r="Z67" s="11">
        <f>-SUMIF('Lương năng suất'!$R$4:$R$208,E67,'Lương năng suất'!$AQ$4:$AQ$208)</f>
        <v>-6800000</v>
      </c>
      <c r="AA67" s="213" t="str">
        <f>IFERROR(IF(ISNUMBER(SEARCH("TẶNG",VLOOKUP(E67,'Dự thu chiết khấu'!$L$3:$AV$226,37,0))),"TẶNG",""),"")</f>
        <v/>
      </c>
      <c r="AB67" s="213" t="str">
        <f>IFERROR(IF(ISNUMBER(SEARCH("TẶNG",VLOOKUP(E67,'Dự thu chiết khấu'!$L$3:$AW$226,38,0))),"TẶNG",""),"")</f>
        <v/>
      </c>
      <c r="AC67" s="49">
        <f t="shared" si="5"/>
        <v>7000909.3636363614</v>
      </c>
      <c r="AD67" s="11">
        <f>IFERROR(VLOOKUP(E67,'Dự thu chiết khấu'!$L$3:$AM$226,28,0),0)</f>
        <v>0</v>
      </c>
      <c r="AE67" s="11">
        <f>IFERROR(VLOOKUP(E67,'Dự thu chiết khấu'!$L$3:$AN$226,29,0),0)</f>
        <v>0</v>
      </c>
      <c r="AF67" s="11">
        <f>IFERROR(VLOOKUP(E67,'Dự thu chiết khấu'!$L$3:$AO$226,30,0),0)</f>
        <v>0</v>
      </c>
    </row>
    <row r="68" spans="1:32">
      <c r="A68">
        <v>62</v>
      </c>
      <c r="B68" t="str">
        <f>IFERROR(INDEX('Dự thu chiết khấu'!$E:$E,MATCH(E68,'Dự thu chiết khấu'!$L:$L,0)),"")</f>
        <v>Thạch Thị Ngọc Chuẩn</v>
      </c>
      <c r="C68" s="51" t="str">
        <f>IFERROR(INDEX('Dự thu chiết khấu'!$F:$F,MATCH(E68,'Dự thu chiết khấu'!$L:$L,0)),"")</f>
        <v>Lương Thị Hương</v>
      </c>
      <c r="D68" s="4" t="str">
        <f>IFERROR(INDEX('Dự thu chiết khấu'!$H:$H,MATCH(E68,'Dự thu chiết khấu'!$L:$L,0)),"")</f>
        <v>MPV 7</v>
      </c>
      <c r="E68" s="4" t="str">
        <f>'Dự thu chiết khấu'!L65</f>
        <v>RLLVFPTT8TH733752</v>
      </c>
      <c r="F68" s="5" t="s">
        <v>138</v>
      </c>
      <c r="G68" s="5" t="str" cm="1">
        <f t="array" ref="G68">IFERROR(INDEX('DT-GV'!$X$6:$X$213,MATCH(1,('DT-GV'!$H$6:$H$213=E68)*('DT-GV'!$R$6:$R$213&lt;&gt;0),0)),IFERROR(VLOOKUP(E68,'DT-GV'!$H$6:$X$213,17,0),""))</f>
        <v>Q9KD</v>
      </c>
      <c r="H68" s="6" t="str">
        <f>VLOOKUP(E68,'Dự thu chiết khấu'!$L$3:$M$226,2,0)</f>
        <v>S11007</v>
      </c>
      <c r="I68">
        <v>1</v>
      </c>
      <c r="J68" s="11">
        <f>VLOOKUP(E68,'Dự thu chiết khấu'!$L$3:$P$226,5,0)</f>
        <v>819000000</v>
      </c>
      <c r="K68" s="12">
        <f t="shared" si="6"/>
        <v>49140000</v>
      </c>
      <c r="L68" s="12">
        <f t="shared" si="7"/>
        <v>0</v>
      </c>
      <c r="M68" s="13">
        <f>IFERROR(VLOOKUP(E68,'Dự thu chiết khấu'!$L$3:$R$226,7,0),0)</f>
        <v>0</v>
      </c>
      <c r="N68" s="14">
        <f>IFERROR(VLOOKUP(E68,'Dự thu chiết khấu'!$L$3:$S$226,8,0),0)</f>
        <v>0</v>
      </c>
      <c r="O68" s="11">
        <f>IF(IFERROR(VLOOKUP(E68,'Dự thu chiết khấu'!$L$3:$T$226,9,0),0)&gt;0,J68*$O$5,0)</f>
        <v>24570000</v>
      </c>
      <c r="P68" s="13">
        <f>IFERROR(VLOOKUP(E68,'Dự thu chiết khấu'!$L$3:$U$226,10,0),0)</f>
        <v>0.05</v>
      </c>
      <c r="Q68" s="12">
        <f>IFERROR(VLOOKUP(E68,'Dự thu chiết khấu'!$L$3:$V$226,11,0),0)</f>
        <v>0</v>
      </c>
      <c r="R68" s="12">
        <f>VLOOKUP($E68,'Dự thu chiết khấu'!$L$3:$W$226,12,0)</f>
        <v>0</v>
      </c>
      <c r="S68" s="12">
        <f t="shared" si="3"/>
        <v>640309090.90909088</v>
      </c>
      <c r="T68" s="11">
        <f t="shared" si="4"/>
        <v>-9.0909123420715332E-2</v>
      </c>
      <c r="U68" s="15">
        <f>SUMIFS('DT-GV'!$N$6:$N$213,'DT-GV'!$H$6:$H$213,E68,'DT-GV'!$R$6:$R$213,"&lt;&gt;0")</f>
        <v>640309091</v>
      </c>
      <c r="V68" s="48">
        <f>SUMIFS('DT-GV'!$N$6:$N$213,'DT-GV'!$H$6:$H$213,E68,'DT-GV'!$R$6:$R$213,0)</f>
        <v>0</v>
      </c>
      <c r="W68" s="15">
        <f>-SUMIFS('DT-GV'!$R$6:$R$213,'DT-GV'!$H$6:$H$213,E68)</f>
        <v>-714763636</v>
      </c>
      <c r="X68" s="11">
        <f>IFERROR(VLOOKUP($E68,'Dự thu chiết khấu'!$L$3:$AK$226,26,0)/1.1,0)</f>
        <v>81453272.727272719</v>
      </c>
      <c r="Y68" s="11">
        <f>IFERROR(VLOOKUP($E68,'Dự thu chiết khấu'!$L$3:$BE$226,46,0)/1.1,0)</f>
        <v>6403090.9090909082</v>
      </c>
      <c r="Z68" s="11">
        <f>-SUMIF('Lương năng suất'!$R$4:$R$208,E68,'Lương năng suất'!$AQ$4:$AQ$208)</f>
        <v>-8000000</v>
      </c>
      <c r="AA68" s="213" t="str">
        <f>IFERROR(IF(ISNUMBER(SEARCH("TẶNG",VLOOKUP(E68,'Dự thu chiết khấu'!$L$3:$AV$226,37,0))),"TẶNG",""),"")</f>
        <v/>
      </c>
      <c r="AB68" s="213" t="str">
        <f>IFERROR(IF(ISNUMBER(SEARCH("TẶNG",VLOOKUP(E68,'Dự thu chiết khấu'!$L$3:$AW$226,38,0))),"TẶNG",""),"")</f>
        <v/>
      </c>
      <c r="AC68" s="49">
        <f t="shared" si="5"/>
        <v>5401818.6363636274</v>
      </c>
      <c r="AD68" s="11">
        <f>IFERROR(VLOOKUP(E68,'Dự thu chiết khấu'!$L$3:$AM$226,28,0),0)</f>
        <v>0</v>
      </c>
      <c r="AE68" s="11">
        <f>IFERROR(VLOOKUP(E68,'Dự thu chiết khấu'!$L$3:$AN$226,29,0),0)</f>
        <v>0</v>
      </c>
      <c r="AF68" s="11">
        <f>IFERROR(VLOOKUP(E68,'Dự thu chiết khấu'!$L$3:$AO$226,30,0),0)</f>
        <v>0</v>
      </c>
    </row>
    <row r="69" spans="1:32">
      <c r="A69" s="11">
        <v>63</v>
      </c>
      <c r="B69" t="str">
        <f>IFERROR(INDEX('Dự thu chiết khấu'!$E:$E,MATCH(E69,'Dự thu chiết khấu'!$L:$L,0)),"")</f>
        <v>Trịnh Trung Tín</v>
      </c>
      <c r="C69" s="51" t="str">
        <f>IFERROR(INDEX('Dự thu chiết khấu'!$F:$F,MATCH(E69,'Dự thu chiết khấu'!$L:$L,0)),"")</f>
        <v>BẠCH THỊ TUYẾT</v>
      </c>
      <c r="D69" s="4" t="str">
        <f>IFERROR(INDEX('Dự thu chiết khấu'!$H:$H,MATCH(E69,'Dự thu chiết khấu'!$L:$L,0)),"")</f>
        <v>VF 5</v>
      </c>
      <c r="E69" s="4" t="str">
        <f>'Dự thu chiết khấu'!L66</f>
        <v>RLNV5JSE7TH736376</v>
      </c>
      <c r="F69" s="5" t="s">
        <v>100</v>
      </c>
      <c r="G69" s="5" t="str" cm="1">
        <f t="array" ref="G69">IFERROR(INDEX('DT-GV'!$X$6:$X$213,MATCH(1,('DT-GV'!$H$6:$H$213=E69)*('DT-GV'!$R$6:$R$213&lt;&gt;0),0)),IFERROR(VLOOKUP(E69,'DT-GV'!$H$6:$X$213,17,0),""))</f>
        <v>LAKD</v>
      </c>
      <c r="H69" s="6" t="str">
        <f>VLOOKUP(E69,'Dự thu chiết khấu'!$L$3:$M$226,2,0)</f>
        <v>S11001</v>
      </c>
      <c r="I69">
        <v>1</v>
      </c>
      <c r="J69" s="11">
        <f>VLOOKUP(E69,'Dự thu chiết khấu'!$L$3:$P$226,5,0)</f>
        <v>529000000</v>
      </c>
      <c r="K69" s="12">
        <f t="shared" si="6"/>
        <v>31740000</v>
      </c>
      <c r="L69" s="12">
        <f t="shared" si="7"/>
        <v>0</v>
      </c>
      <c r="M69" s="13">
        <f>IFERROR(VLOOKUP(E69,'Dự thu chiết khấu'!$L$3:$R$226,7,0),0)</f>
        <v>0</v>
      </c>
      <c r="N69" s="14">
        <f>IFERROR(VLOOKUP(E69,'Dự thu chiết khấu'!$L$3:$S$226,8,0),0)</f>
        <v>0</v>
      </c>
      <c r="O69" s="11">
        <f>IF(IFERROR(VLOOKUP(E69,'Dự thu chiết khấu'!$L$3:$T$226,9,0),0)&gt;0,J69*$O$5,0)</f>
        <v>15870000</v>
      </c>
      <c r="P69" s="13">
        <f>IFERROR(VLOOKUP(E69,'Dự thu chiết khấu'!$L$3:$U$226,10,0),0)</f>
        <v>0</v>
      </c>
      <c r="Q69" s="12">
        <f>IFERROR(VLOOKUP(E69,'Dự thu chiết khấu'!$L$3:$V$226,11,0),0)</f>
        <v>0</v>
      </c>
      <c r="R69" s="12">
        <f>VLOOKUP($E69,'Dự thu chiết khấu'!$L$3:$W$226,12,0)</f>
        <v>0</v>
      </c>
      <c r="S69" s="12">
        <f t="shared" si="3"/>
        <v>437627272.72727269</v>
      </c>
      <c r="T69" s="11">
        <f t="shared" si="4"/>
        <v>-0.27272731065750122</v>
      </c>
      <c r="U69" s="15">
        <f>SUMIFS('DT-GV'!$N$6:$N$213,'DT-GV'!$H$6:$H$213,E69,'DT-GV'!$R$6:$R$213,"&lt;&gt;0")</f>
        <v>437627273</v>
      </c>
      <c r="V69" s="48">
        <f>SUMIFS('DT-GV'!$N$6:$N$213,'DT-GV'!$H$6:$H$213,E69,'DT-GV'!$R$6:$R$213,0)</f>
        <v>0</v>
      </c>
      <c r="W69" s="15">
        <f>-SUMIFS('DT-GV'!$R$6:$R$213,'DT-GV'!$H$6:$H$213,E69)</f>
        <v>-461672727</v>
      </c>
      <c r="X69" s="11">
        <f>IFERROR(VLOOKUP($E69,'Dự thu chiết khấu'!$L$3:$AK$226,26,0)/1.1,0)</f>
        <v>41550545.454545453</v>
      </c>
      <c r="Y69" s="11">
        <f>IFERROR(VLOOKUP($E69,'Dự thu chiết khấu'!$L$3:$BE$226,46,0)/1.1,0)</f>
        <v>0</v>
      </c>
      <c r="Z69" s="11">
        <f>-SUMIF('Lương năng suất'!$R$4:$R$208,E69,'Lương năng suất'!$AQ$4:$AQ$208)</f>
        <v>-9600000</v>
      </c>
      <c r="AA69" s="213" t="str">
        <f>IFERROR(IF(ISNUMBER(SEARCH("TẶNG",VLOOKUP(E69,'Dự thu chiết khấu'!$L$3:$AV$226,37,0))),"TẶNG",""),"")</f>
        <v>TẶNG</v>
      </c>
      <c r="AB69" s="213" t="str">
        <f>IFERROR(IF(ISNUMBER(SEARCH("TẶNG",VLOOKUP(E69,'Dự thu chiết khấu'!$L$3:$AW$226,38,0))),"TẶNG",""),"")</f>
        <v/>
      </c>
      <c r="AC69" s="49">
        <f t="shared" si="5"/>
        <v>7905091.4545454532</v>
      </c>
      <c r="AD69" s="11">
        <f>IFERROR(VLOOKUP(E69,'Dự thu chiết khấu'!$L$3:$AM$226,28,0),0)</f>
        <v>0</v>
      </c>
      <c r="AE69" s="11">
        <f>IFERROR(VLOOKUP(E69,'Dự thu chiết khấu'!$L$3:$AN$226,29,0),0)</f>
        <v>0</v>
      </c>
      <c r="AF69" s="11">
        <f>IFERROR(VLOOKUP(E69,'Dự thu chiết khấu'!$L$3:$AO$226,30,0),0)</f>
        <v>7000000</v>
      </c>
    </row>
    <row r="70" spans="1:32">
      <c r="A70">
        <v>64</v>
      </c>
      <c r="B70" t="str">
        <f>IFERROR(INDEX('Dự thu chiết khấu'!$E:$E,MATCH(E70,'Dự thu chiết khấu'!$L:$L,0)),"")</f>
        <v>Lê Ngọc Toàn</v>
      </c>
      <c r="C70" s="51" t="str">
        <f>IFERROR(INDEX('Dự thu chiết khấu'!$F:$F,MATCH(E70,'Dự thu chiết khấu'!$L:$L,0)),"")</f>
        <v>ĐỖ MINH THÀNH</v>
      </c>
      <c r="D70" s="4" t="str">
        <f>IFERROR(INDEX('Dự thu chiết khấu'!$H:$H,MATCH(E70,'Dự thu chiết khấu'!$L:$L,0)),"")</f>
        <v>VF 3</v>
      </c>
      <c r="E70" s="4" t="str">
        <f>'Dự thu chiết khấu'!L67</f>
        <v>RLNVBL9K3ST715648</v>
      </c>
      <c r="F70" s="5" t="s">
        <v>100</v>
      </c>
      <c r="G70" s="5" t="str" cm="1">
        <f t="array" ref="G70">IFERROR(INDEX('DT-GV'!$X$6:$X$213,MATCH(1,('DT-GV'!$H$6:$H$213=E70)*('DT-GV'!$R$6:$R$213&lt;&gt;0),0)),IFERROR(VLOOKUP(E70,'DT-GV'!$H$6:$X$213,17,0),""))</f>
        <v>LAKD</v>
      </c>
      <c r="H70" s="7" t="str">
        <f>VLOOKUP(E70,'Dự thu chiết khấu'!$L$3:$M$226,2,0)</f>
        <v>S11001</v>
      </c>
      <c r="I70">
        <v>1</v>
      </c>
      <c r="J70" s="11">
        <f>VLOOKUP(E70,'Dự thu chiết khấu'!$L$3:$P$226,5,0)</f>
        <v>310000000</v>
      </c>
      <c r="K70" s="12">
        <f t="shared" si="6"/>
        <v>18600000</v>
      </c>
      <c r="L70" s="12">
        <f t="shared" si="7"/>
        <v>0</v>
      </c>
      <c r="M70" s="13">
        <f>IFERROR(VLOOKUP(E70,'Dự thu chiết khấu'!$L$3:$R$226,7,0),0)</f>
        <v>0</v>
      </c>
      <c r="N70" s="14">
        <f>IFERROR(VLOOKUP(E70,'Dự thu chiết khấu'!$L$3:$S$226,8,0),0)</f>
        <v>0</v>
      </c>
      <c r="O70" s="11">
        <f>IF(IFERROR(VLOOKUP(E70,'Dự thu chiết khấu'!$L$3:$T$226,9,0),0)&gt;0,J70*$O$5,0)</f>
        <v>9300000</v>
      </c>
      <c r="P70" s="13">
        <f>IFERROR(VLOOKUP(E70,'Dự thu chiết khấu'!$L$3:$U$226,10,0),0)</f>
        <v>0</v>
      </c>
      <c r="Q70" s="12">
        <f>IFERROR(VLOOKUP(E70,'Dự thu chiết khấu'!$L$3:$V$226,11,0),0)</f>
        <v>18000000</v>
      </c>
      <c r="R70" s="12">
        <f>VLOOKUP($E70,'Dự thu chiết khấu'!$L$3:$W$226,12,0)</f>
        <v>0</v>
      </c>
      <c r="S70" s="12">
        <f t="shared" si="3"/>
        <v>240090909.09090906</v>
      </c>
      <c r="T70" s="11">
        <f t="shared" si="4"/>
        <v>9.0909063816070557E-2</v>
      </c>
      <c r="U70" s="15">
        <f>SUMIFS('DT-GV'!$N$6:$N$213,'DT-GV'!$H$6:$H$213,E70,'DT-GV'!$R$6:$R$213,"&lt;&gt;0")</f>
        <v>240090909</v>
      </c>
      <c r="V70" s="48">
        <f>SUMIFS('DT-GV'!$N$6:$N$213,'DT-GV'!$H$6:$H$213,E70,'DT-GV'!$R$6:$R$213,0)</f>
        <v>0</v>
      </c>
      <c r="W70" s="15">
        <f>-SUMIFS('DT-GV'!$R$6:$R$213,'DT-GV'!$H$6:$H$213,E70)</f>
        <v>-270545455</v>
      </c>
      <c r="X70" s="11">
        <f>IFERROR(VLOOKUP($E70,'Dự thu chiết khấu'!$L$3:$AK$226,26,0)/1.1,0)</f>
        <v>40058181.818181813</v>
      </c>
      <c r="Y70" s="11">
        <f>IFERROR(VLOOKUP($E70,'Dự thu chiết khấu'!$L$3:$BE$226,46,0)/1.1,0)</f>
        <v>0</v>
      </c>
      <c r="Z70" s="11">
        <f>-SUMIF('Lương năng suất'!$R$4:$R$208,E70,'Lương năng suất'!$AQ$4:$AQ$208)</f>
        <v>-6400000</v>
      </c>
      <c r="AA70" s="213" t="str">
        <f>IFERROR(IF(ISNUMBER(SEARCH("TẶNG",VLOOKUP(E70,'Dự thu chiết khấu'!$L$3:$AV$226,37,0))),"TẶNG",""),"")</f>
        <v/>
      </c>
      <c r="AB70" s="213" t="str">
        <f>IFERROR(IF(ISNUMBER(SEARCH("TẶNG",VLOOKUP(E70,'Dự thu chiết khấu'!$L$3:$AW$226,38,0))),"TẶNG",""),"")</f>
        <v/>
      </c>
      <c r="AC70" s="49">
        <f t="shared" si="5"/>
        <v>3203635.8181818128</v>
      </c>
      <c r="AD70" s="11">
        <f>IFERROR(VLOOKUP(E70,'Dự thu chiết khấu'!$L$3:$AM$226,28,0),0)</f>
        <v>0</v>
      </c>
      <c r="AE70" s="11">
        <f>IFERROR(VLOOKUP(E70,'Dự thu chiết khấu'!$L$3:$AN$226,29,0),0)</f>
        <v>0</v>
      </c>
      <c r="AF70" s="11">
        <f>IFERROR(VLOOKUP(E70,'Dự thu chiết khấu'!$L$3:$AO$226,30,0),0)</f>
        <v>0</v>
      </c>
    </row>
    <row r="71" spans="1:32">
      <c r="A71" s="11">
        <v>65</v>
      </c>
      <c r="B71" t="str">
        <f>IFERROR(INDEX('Dự thu chiết khấu'!$E:$E,MATCH(E71,'Dự thu chiết khấu'!$L:$L,0)),"")</f>
        <v>CHÂU PHẠM THÀNH ĐẠT</v>
      </c>
      <c r="C71" s="51" t="str">
        <f>IFERROR(INDEX('Dự thu chiết khấu'!$F:$F,MATCH(E71,'Dự thu chiết khấu'!$L:$L,0)),"")</f>
        <v>HỒ KIM LONG SƠN</v>
      </c>
      <c r="D71" s="4" t="str">
        <f>IFERROR(INDEX('Dự thu chiết khấu'!$H:$H,MATCH(E71,'Dự thu chiết khấu'!$L:$L,0)),"")</f>
        <v>VF 3</v>
      </c>
      <c r="E71" s="4" t="str">
        <f>'Dự thu chiết khấu'!L68</f>
        <v>RLNVBL9K5TT713711</v>
      </c>
      <c r="F71" s="5" t="s">
        <v>104</v>
      </c>
      <c r="G71" s="5" t="str" cm="1">
        <f t="array" ref="G71">IFERROR(INDEX('DT-GV'!$X$6:$X$213,MATCH(1,('DT-GV'!$H$6:$H$213=E71)*('DT-GV'!$R$6:$R$213&lt;&gt;0),0)),IFERROR(VLOOKUP(E71,'DT-GV'!$H$6:$X$213,17,0),""))</f>
        <v>SLKD</v>
      </c>
      <c r="H71" s="6" t="str">
        <f>VLOOKUP(E71,'Dự thu chiết khấu'!$L$3:$M$226,2,0)</f>
        <v>S11006</v>
      </c>
      <c r="I71">
        <v>1</v>
      </c>
      <c r="J71" s="11">
        <f>VLOOKUP(E71,'Dự thu chiết khấu'!$L$3:$P$226,5,0)</f>
        <v>315000000</v>
      </c>
      <c r="K71" s="12">
        <f t="shared" ref="K71:K102" si="8">IF(M71&gt;0,0,IF(OR(LEFT(SUBSTITUTE(UPPER(D71)," ",""),3)="VF8",LEFT(SUBSTITUTE(UPPER(D71)," ",""),3)="VF9"),0,J71*$K$5))</f>
        <v>18900000</v>
      </c>
      <c r="L71" s="12">
        <f t="shared" ref="L71:L102" si="9">IF(M71&gt;0,0,IF(OR(LEFT(SUBSTITUTE(UPPER(D71)," ",""),3)="VF8",LEFT(SUBSTITUTE(UPPER(D71)," ",""),3)="VF9"),J71*$L$5,0))</f>
        <v>0</v>
      </c>
      <c r="M71" s="13">
        <f>IFERROR(VLOOKUP(E71,'Dự thu chiết khấu'!$L$3:$R$226,7,0),0)</f>
        <v>0</v>
      </c>
      <c r="N71" s="14">
        <f>IFERROR(VLOOKUP(E71,'Dự thu chiết khấu'!$L$3:$S$226,8,0),0)</f>
        <v>0</v>
      </c>
      <c r="O71" s="11">
        <f>IF(IFERROR(VLOOKUP(E71,'Dự thu chiết khấu'!$L$3:$T$226,9,0),0)&gt;0,J71*$O$5,0)</f>
        <v>0</v>
      </c>
      <c r="P71" s="13">
        <f>IFERROR(VLOOKUP(E71,'Dự thu chiết khấu'!$L$3:$U$226,10,0),0)</f>
        <v>0</v>
      </c>
      <c r="Q71" s="12">
        <f>IFERROR(VLOOKUP(E71,'Dự thu chiết khấu'!$L$3:$V$226,11,0),0)</f>
        <v>0</v>
      </c>
      <c r="R71" s="12">
        <f>VLOOKUP($E71,'Dự thu chiết khấu'!$L$3:$W$226,12,0)</f>
        <v>6000000</v>
      </c>
      <c r="S71" s="12">
        <f t="shared" si="3"/>
        <v>263727272.72727272</v>
      </c>
      <c r="T71" s="11">
        <f t="shared" si="4"/>
        <v>-0.27272728085517883</v>
      </c>
      <c r="U71" s="15">
        <f>SUMIFS('DT-GV'!$N$6:$N$213,'DT-GV'!$H$6:$H$213,E71,'DT-GV'!$R$6:$R$213,"&lt;&gt;0")</f>
        <v>263727273</v>
      </c>
      <c r="V71" s="48">
        <f>SUMIFS('DT-GV'!$N$6:$N$213,'DT-GV'!$H$6:$H$213,E71,'DT-GV'!$R$6:$R$213,0)</f>
        <v>0</v>
      </c>
      <c r="W71" s="15">
        <f>-SUMIFS('DT-GV'!$R$6:$R$213,'DT-GV'!$H$6:$H$213,E71)</f>
        <v>-274909091</v>
      </c>
      <c r="X71" s="11">
        <f>IFERROR(VLOOKUP($E71,'Dự thu chiết khấu'!$L$3:$AK$226,26,0)/1.1,0)</f>
        <v>16494545.454545453</v>
      </c>
      <c r="Y71" s="11">
        <f>IFERROR(VLOOKUP($E71,'Dự thu chiết khấu'!$L$3:$BE$226,46,0)/1.1,0)</f>
        <v>2691818.1818181816</v>
      </c>
      <c r="Z71" s="11">
        <f>-SUMIF('Lương năng suất'!$R$4:$R$208,E71,'Lương năng suất'!$AQ$4:$AQ$208)</f>
        <v>-2000000</v>
      </c>
      <c r="AA71" s="213" t="str">
        <f>IFERROR(IF(ISNUMBER(SEARCH("TẶNG",VLOOKUP(E71,'Dự thu chiết khấu'!$L$3:$AV$226,37,0))),"TẶNG",""),"")</f>
        <v/>
      </c>
      <c r="AB71" s="213" t="str">
        <f>IFERROR(IF(ISNUMBER(SEARCH("TẶNG",VLOOKUP(E71,'Dự thu chiết khấu'!$L$3:$AW$226,38,0))),"TẶNG",""),"")</f>
        <v/>
      </c>
      <c r="AC71" s="49">
        <f t="shared" si="5"/>
        <v>6004545.6363636348</v>
      </c>
      <c r="AD71" s="11">
        <f>IFERROR(VLOOKUP(E71,'Dự thu chiết khấu'!$L$3:$AM$226,28,0),0)</f>
        <v>0</v>
      </c>
      <c r="AE71" s="11">
        <f>IFERROR(VLOOKUP(E71,'Dự thu chiết khấu'!$L$3:$AN$226,29,0),0)</f>
        <v>0</v>
      </c>
      <c r="AF71" s="11">
        <f>IFERROR(VLOOKUP(E71,'Dự thu chiết khấu'!$L$3:$AO$226,30,0),0)</f>
        <v>0</v>
      </c>
    </row>
    <row r="72" spans="1:32">
      <c r="A72">
        <v>66</v>
      </c>
      <c r="B72" t="str">
        <f>IFERROR(INDEX('Dự thu chiết khấu'!$E:$E,MATCH(E72,'Dự thu chiết khấu'!$L:$L,0)),"")</f>
        <v>Trịnh Trung Tín</v>
      </c>
      <c r="C72" s="51" t="str">
        <f>IFERROR(INDEX('Dự thu chiết khấu'!$F:$F,MATCH(E72,'Dự thu chiết khấu'!$L:$L,0)),"")</f>
        <v>NGUYỄN THỊ TRÚC GIANG</v>
      </c>
      <c r="D72" s="4" t="str">
        <f>IFERROR(INDEX('Dự thu chiết khấu'!$H:$H,MATCH(E72,'Dự thu chiết khấu'!$L:$L,0)),"")</f>
        <v>VF 3</v>
      </c>
      <c r="E72" s="4" t="str">
        <f>'Dự thu chiết khấu'!L69</f>
        <v>RLNVBL9K8TT713430</v>
      </c>
      <c r="F72" s="5" t="s">
        <v>100</v>
      </c>
      <c r="G72" s="5" t="str" cm="1">
        <f t="array" ref="G72">IFERROR(INDEX('DT-GV'!$X$6:$X$213,MATCH(1,('DT-GV'!$H$6:$H$213=E72)*('DT-GV'!$R$6:$R$213&lt;&gt;0),0)),IFERROR(VLOOKUP(E72,'DT-GV'!$H$6:$X$213,17,0),""))</f>
        <v>LAKD</v>
      </c>
      <c r="H72" s="6" t="str">
        <f>VLOOKUP(E72,'Dự thu chiết khấu'!$L$3:$M$226,2,0)</f>
        <v>S11001</v>
      </c>
      <c r="I72">
        <v>1</v>
      </c>
      <c r="J72" s="11">
        <f>VLOOKUP(E72,'Dự thu chiết khấu'!$L$3:$P$226,5,0)</f>
        <v>315000000</v>
      </c>
      <c r="K72" s="12">
        <f t="shared" si="8"/>
        <v>18900000</v>
      </c>
      <c r="L72" s="12">
        <f t="shared" si="9"/>
        <v>0</v>
      </c>
      <c r="M72" s="13">
        <f>IFERROR(VLOOKUP(E72,'Dự thu chiết khấu'!$L$3:$R$226,7,0),0)</f>
        <v>0</v>
      </c>
      <c r="N72" s="14">
        <f>IFERROR(VLOOKUP(E72,'Dự thu chiết khấu'!$L$3:$S$226,8,0),0)</f>
        <v>0</v>
      </c>
      <c r="O72" s="11">
        <f>IF(IFERROR(VLOOKUP(E72,'Dự thu chiết khấu'!$L$3:$T$226,9,0),0)&gt;0,J72*$O$5,0)</f>
        <v>9450000</v>
      </c>
      <c r="P72" s="13">
        <f>IFERROR(VLOOKUP(E72,'Dự thu chiết khấu'!$L$3:$U$226,10,0),0)</f>
        <v>0.05</v>
      </c>
      <c r="Q72" s="12">
        <f>IFERROR(VLOOKUP(E72,'Dự thu chiết khấu'!$L$3:$V$226,11,0),0)</f>
        <v>0</v>
      </c>
      <c r="R72" s="12">
        <f>VLOOKUP($E72,'Dự thu chiết khấu'!$L$3:$W$226,12,0)</f>
        <v>0</v>
      </c>
      <c r="S72" s="12">
        <f t="shared" ref="S72:S135" si="10">(J72-K72-L72-O72-P72*J72-R72-Q72-(J72-K72-L72-AD72-AE72-AF72-Q72-O72-(P72*J72))*N72)/1.1</f>
        <v>246272727.27272725</v>
      </c>
      <c r="T72" s="11">
        <f t="shared" ref="T72:T135" si="11">S72-SUM(U72:V72)</f>
        <v>0.27272725105285645</v>
      </c>
      <c r="U72" s="15">
        <f>SUMIFS('DT-GV'!$N$6:$N$213,'DT-GV'!$H$6:$H$213,E72,'DT-GV'!$R$6:$R$213,"&lt;&gt;0")</f>
        <v>246272727</v>
      </c>
      <c r="V72" s="48">
        <f>SUMIFS('DT-GV'!$N$6:$N$213,'DT-GV'!$H$6:$H$213,E72,'DT-GV'!$R$6:$R$213,0)</f>
        <v>0</v>
      </c>
      <c r="W72" s="15">
        <f>-SUMIFS('DT-GV'!$R$6:$R$213,'DT-GV'!$H$6:$H$213,E72)</f>
        <v>-274909091</v>
      </c>
      <c r="X72" s="11">
        <f>IFERROR(VLOOKUP($E72,'Dự thu chiết khấu'!$L$3:$AK$226,26,0)/1.1,0)</f>
        <v>31328181.818181816</v>
      </c>
      <c r="Y72" s="11">
        <f>IFERROR(VLOOKUP($E72,'Dự thu chiết khấu'!$L$3:$BE$226,46,0)/1.1,0)</f>
        <v>0</v>
      </c>
      <c r="Z72" s="11">
        <f>-SUMIF('Lương năng suất'!$R$4:$R$208,E72,'Lương năng suất'!$AQ$4:$AQ$208)</f>
        <v>-3400000</v>
      </c>
      <c r="AA72" s="213" t="str">
        <f>IFERROR(IF(ISNUMBER(SEARCH("TẶNG",VLOOKUP(E72,'Dự thu chiết khấu'!$L$3:$AV$226,37,0))),"TẶNG",""),"")</f>
        <v>TẶNG</v>
      </c>
      <c r="AB72" s="213" t="str">
        <f>IFERROR(IF(ISNUMBER(SEARCH("TẶNG",VLOOKUP(E72,'Dự thu chiết khấu'!$L$3:$AW$226,38,0))),"TẶNG",""),"")</f>
        <v/>
      </c>
      <c r="AC72" s="49">
        <f t="shared" ref="AC72:AC135" si="12">SUM(U72:AB72)</f>
        <v>-708182.18181818351</v>
      </c>
      <c r="AD72" s="11">
        <f>IFERROR(VLOOKUP(E72,'Dự thu chiết khấu'!$L$3:$AM$226,28,0),0)</f>
        <v>0</v>
      </c>
      <c r="AE72" s="11">
        <f>IFERROR(VLOOKUP(E72,'Dự thu chiết khấu'!$L$3:$AN$226,29,0),0)</f>
        <v>0</v>
      </c>
      <c r="AF72" s="11">
        <f>IFERROR(VLOOKUP(E72,'Dự thu chiết khấu'!$L$3:$AO$226,30,0),0)</f>
        <v>0</v>
      </c>
    </row>
    <row r="73" spans="1:32">
      <c r="A73" s="11">
        <v>67</v>
      </c>
      <c r="B73" t="str">
        <f>IFERROR(INDEX('Dự thu chiết khấu'!$E:$E,MATCH(E73,'Dự thu chiết khấu'!$L:$L,0)),"")</f>
        <v>HUỲNH THANH TÀI</v>
      </c>
      <c r="C73" s="51" t="str">
        <f>IFERROR(INDEX('Dự thu chiết khấu'!$F:$F,MATCH(E73,'Dự thu chiết khấu'!$L:$L,0)),"")</f>
        <v>NGUYỄN TẤN THI</v>
      </c>
      <c r="D73" s="4" t="str">
        <f>IFERROR(INDEX('Dự thu chiết khấu'!$H:$H,MATCH(E73,'Dự thu chiết khấu'!$L:$L,0)),"")</f>
        <v>LIMO GREEN</v>
      </c>
      <c r="E73" s="4" t="str">
        <f>'Dự thu chiết khấu'!L70</f>
        <v>RLLVFPNT4TH711292</v>
      </c>
      <c r="F73" s="5" t="s">
        <v>122</v>
      </c>
      <c r="G73" s="5" t="str" cm="1">
        <f t="array" ref="G73">IFERROR(INDEX('DT-GV'!$X$6:$X$213,MATCH(1,('DT-GV'!$H$6:$H$213=E73)*('DT-GV'!$R$6:$R$213&lt;&gt;0),0)),IFERROR(VLOOKUP(E73,'DT-GV'!$H$6:$X$213,17,0),""))</f>
        <v>QTKD</v>
      </c>
      <c r="H73" s="6" t="str">
        <f>VLOOKUP(E73,'Dự thu chiết khấu'!$L$3:$M$226,2,0)</f>
        <v>S11007</v>
      </c>
      <c r="I73">
        <v>1</v>
      </c>
      <c r="J73" s="11">
        <f>VLOOKUP(E73,'Dự thu chiết khấu'!$L$3:$P$226,5,0)</f>
        <v>749000000</v>
      </c>
      <c r="K73" s="12">
        <f t="shared" si="8"/>
        <v>44940000</v>
      </c>
      <c r="L73" s="12">
        <f t="shared" si="9"/>
        <v>0</v>
      </c>
      <c r="M73" s="13">
        <f>IFERROR(VLOOKUP(E73,'Dự thu chiết khấu'!$L$3:$R$226,7,0),0)</f>
        <v>0</v>
      </c>
      <c r="N73" s="14">
        <f>IFERROR(VLOOKUP(E73,'Dự thu chiết khấu'!$L$3:$S$226,8,0),0)</f>
        <v>0</v>
      </c>
      <c r="O73" s="11">
        <f>IF(IFERROR(VLOOKUP(E73,'Dự thu chiết khấu'!$L$3:$T$226,9,0),0)&gt;0,J73*$O$5,0)</f>
        <v>0</v>
      </c>
      <c r="P73" s="13">
        <f>IFERROR(VLOOKUP(E73,'Dự thu chiết khấu'!$L$3:$U$226,10,0),0)</f>
        <v>0</v>
      </c>
      <c r="Q73" s="12">
        <f>IFERROR(VLOOKUP(E73,'Dự thu chiết khấu'!$L$3:$V$226,11,0),0)</f>
        <v>0</v>
      </c>
      <c r="R73" s="12">
        <f>VLOOKUP($E73,'Dự thu chiết khấu'!$L$3:$W$226,12,0)</f>
        <v>0</v>
      </c>
      <c r="S73" s="12">
        <f t="shared" si="10"/>
        <v>640054545.45454538</v>
      </c>
      <c r="T73" s="11">
        <f t="shared" si="11"/>
        <v>0.45454537868499756</v>
      </c>
      <c r="U73" s="15">
        <f>SUMIFS('DT-GV'!$N$6:$N$213,'DT-GV'!$H$6:$H$213,E73,'DT-GV'!$R$6:$R$213,"&lt;&gt;0")</f>
        <v>640054545</v>
      </c>
      <c r="V73" s="48">
        <f>SUMIFS('DT-GV'!$N$6:$N$213,'DT-GV'!$H$6:$H$213,E73,'DT-GV'!$R$6:$R$213,0)</f>
        <v>0</v>
      </c>
      <c r="W73" s="15">
        <f>-SUMIFS('DT-GV'!$R$6:$R$213,'DT-GV'!$H$6:$H$213,E73)</f>
        <v>-653672727</v>
      </c>
      <c r="X73" s="11">
        <f>IFERROR(VLOOKUP($E73,'Dự thu chiết khấu'!$L$3:$AK$226,26,0)/1.1,0)</f>
        <v>39220363.636363633</v>
      </c>
      <c r="Y73" s="11">
        <f>IFERROR(VLOOKUP($E73,'Dự thu chiết khấu'!$L$3:$BE$226,46,0)/1.1,0)</f>
        <v>6400545.4545454541</v>
      </c>
      <c r="Z73" s="11">
        <f>-SUMIF('Lương năng suất'!$R$4:$R$208,E73,'Lương năng suất'!$AQ$4:$AQ$208)</f>
        <v>-18200000</v>
      </c>
      <c r="AA73" s="213" t="str">
        <f>IFERROR(IF(ISNUMBER(SEARCH("TẶNG",VLOOKUP(E73,'Dự thu chiết khấu'!$L$3:$AV$226,37,0))),"TẶNG",""),"")</f>
        <v/>
      </c>
      <c r="AB73" s="213" t="str">
        <f>IFERROR(IF(ISNUMBER(SEARCH("TẶNG",VLOOKUP(E73,'Dự thu chiết khấu'!$L$3:$AW$226,38,0))),"TẶNG",""),"")</f>
        <v/>
      </c>
      <c r="AC73" s="49">
        <f t="shared" si="12"/>
        <v>13802727.090909086</v>
      </c>
      <c r="AD73" s="11">
        <f>IFERROR(VLOOKUP(E73,'Dự thu chiết khấu'!$L$3:$AM$226,28,0),0)</f>
        <v>0</v>
      </c>
      <c r="AE73" s="11">
        <f>IFERROR(VLOOKUP(E73,'Dự thu chiết khấu'!$L$3:$AN$226,29,0),0)</f>
        <v>0</v>
      </c>
      <c r="AF73" s="11">
        <f>IFERROR(VLOOKUP(E73,'Dự thu chiết khấu'!$L$3:$AO$226,30,0),0)</f>
        <v>0</v>
      </c>
    </row>
    <row r="74" spans="1:32">
      <c r="A74">
        <v>68</v>
      </c>
      <c r="B74" t="str">
        <f>IFERROR(INDEX('Dự thu chiết khấu'!$E:$E,MATCH(E74,'Dự thu chiết khấu'!$L:$L,0)),"")</f>
        <v>PHÙNG BÁ AN</v>
      </c>
      <c r="C74" s="51" t="str">
        <f>IFERROR(INDEX('Dự thu chiết khấu'!$F:$F,MATCH(E74,'Dự thu chiết khấu'!$L:$L,0)),"")</f>
        <v>ĐÀO THỊ TUYẾN</v>
      </c>
      <c r="D74" s="4" t="str">
        <f>IFERROR(INDEX('Dự thu chiết khấu'!$H:$H,MATCH(E74,'Dự thu chiết khấu'!$L:$L,0)),"")</f>
        <v>LIMO GREEN</v>
      </c>
      <c r="E74" s="4" t="str">
        <f>'Dự thu chiết khấu'!L71</f>
        <v>RLLVFPNT6TH714839</v>
      </c>
      <c r="F74" s="5" t="s">
        <v>122</v>
      </c>
      <c r="G74" s="5" t="str" cm="1">
        <f t="array" ref="G74">IFERROR(INDEX('DT-GV'!$X$6:$X$213,MATCH(1,('DT-GV'!$H$6:$H$213=E74)*('DT-GV'!$R$6:$R$213&lt;&gt;0),0)),IFERROR(VLOOKUP(E74,'DT-GV'!$H$6:$X$213,17,0),""))</f>
        <v>QTKD</v>
      </c>
      <c r="H74" s="6" t="str">
        <f>VLOOKUP(E74,'Dự thu chiết khấu'!$L$3:$M$226,2,0)</f>
        <v>S11007</v>
      </c>
      <c r="I74">
        <v>1</v>
      </c>
      <c r="J74" s="11">
        <f>VLOOKUP(E74,'Dự thu chiết khấu'!$L$3:$P$226,5,0)</f>
        <v>749000000</v>
      </c>
      <c r="K74" s="12">
        <f t="shared" si="8"/>
        <v>44940000</v>
      </c>
      <c r="L74" s="12">
        <f t="shared" si="9"/>
        <v>0</v>
      </c>
      <c r="M74" s="13">
        <f>IFERROR(VLOOKUP(E74,'Dự thu chiết khấu'!$L$3:$R$226,7,0),0)</f>
        <v>0</v>
      </c>
      <c r="N74" s="14">
        <f>IFERROR(VLOOKUP(E74,'Dự thu chiết khấu'!$L$3:$S$226,8,0),0)</f>
        <v>0</v>
      </c>
      <c r="O74" s="11">
        <f>IF(IFERROR(VLOOKUP(E74,'Dự thu chiết khấu'!$L$3:$T$226,9,0),0)&gt;0,J74*$O$5,0)</f>
        <v>0</v>
      </c>
      <c r="P74" s="13">
        <f>IFERROR(VLOOKUP(E74,'Dự thu chiết khấu'!$L$3:$U$226,10,0),0)</f>
        <v>0</v>
      </c>
      <c r="Q74" s="12">
        <f>IFERROR(VLOOKUP(E74,'Dự thu chiết khấu'!$L$3:$V$226,11,0),0)</f>
        <v>0</v>
      </c>
      <c r="R74" s="12">
        <f>VLOOKUP($E74,'Dự thu chiết khấu'!$L$3:$W$226,12,0)</f>
        <v>0</v>
      </c>
      <c r="S74" s="12">
        <f t="shared" si="10"/>
        <v>640054545.45454538</v>
      </c>
      <c r="T74" s="11">
        <f t="shared" si="11"/>
        <v>0.45454537868499756</v>
      </c>
      <c r="U74" s="15">
        <f>SUMIFS('DT-GV'!$N$6:$N$213,'DT-GV'!$H$6:$H$213,E74,'DT-GV'!$R$6:$R$213,"&lt;&gt;0")</f>
        <v>640054545</v>
      </c>
      <c r="V74" s="48">
        <f>SUMIFS('DT-GV'!$N$6:$N$213,'DT-GV'!$H$6:$H$213,E74,'DT-GV'!$R$6:$R$213,0)</f>
        <v>0</v>
      </c>
      <c r="W74" s="15">
        <f>-SUMIFS('DT-GV'!$R$6:$R$213,'DT-GV'!$H$6:$H$213,E74)</f>
        <v>-653672727</v>
      </c>
      <c r="X74" s="11">
        <f>IFERROR(VLOOKUP($E74,'Dự thu chiết khấu'!$L$3:$AK$226,26,0)/1.1,0)</f>
        <v>39220363.636363633</v>
      </c>
      <c r="Y74" s="11">
        <f>IFERROR(VLOOKUP($E74,'Dự thu chiết khấu'!$L$3:$BE$226,46,0)/1.1,0)</f>
        <v>6400545.4545454541</v>
      </c>
      <c r="Z74" s="11">
        <f>-SUMIF('Lương năng suất'!$R$4:$R$208,E74,'Lương năng suất'!$AQ$4:$AQ$208)</f>
        <v>-18200000</v>
      </c>
      <c r="AA74" s="213" t="str">
        <f>IFERROR(IF(ISNUMBER(SEARCH("TẶNG",VLOOKUP(E74,'Dự thu chiết khấu'!$L$3:$AV$226,37,0))),"TẶNG",""),"")</f>
        <v/>
      </c>
      <c r="AB74" s="213" t="str">
        <f>IFERROR(IF(ISNUMBER(SEARCH("TẶNG",VLOOKUP(E74,'Dự thu chiết khấu'!$L$3:$AW$226,38,0))),"TẶNG",""),"")</f>
        <v/>
      </c>
      <c r="AC74" s="49">
        <f t="shared" si="12"/>
        <v>13802727.090909086</v>
      </c>
      <c r="AD74" s="11">
        <f>IFERROR(VLOOKUP(E74,'Dự thu chiết khấu'!$L$3:$AM$226,28,0),0)</f>
        <v>0</v>
      </c>
      <c r="AE74" s="11">
        <f>IFERROR(VLOOKUP(E74,'Dự thu chiết khấu'!$L$3:$AN$226,29,0),0)</f>
        <v>0</v>
      </c>
      <c r="AF74" s="11">
        <f>IFERROR(VLOOKUP(E74,'Dự thu chiết khấu'!$L$3:$AO$226,30,0),0)</f>
        <v>0</v>
      </c>
    </row>
    <row r="75" spans="1:32">
      <c r="A75" s="11">
        <v>69</v>
      </c>
      <c r="B75" t="str">
        <f>IFERROR(INDEX('Dự thu chiết khấu'!$E:$E,MATCH(E75,'Dự thu chiết khấu'!$L:$L,0)),"")</f>
        <v>TRẦN ĐẶNG ANH HUY</v>
      </c>
      <c r="C75" s="51" t="str">
        <f>IFERROR(INDEX('Dự thu chiết khấu'!$F:$F,MATCH(E75,'Dự thu chiết khấu'!$L:$L,0)),"")</f>
        <v>NGUYỄN VĂN TRƯỜNG</v>
      </c>
      <c r="D75" s="4" t="str">
        <f>IFERROR(INDEX('Dự thu chiết khấu'!$H:$H,MATCH(E75,'Dự thu chiết khấu'!$L:$L,0)),"")</f>
        <v>VF 3</v>
      </c>
      <c r="E75" s="4" t="str">
        <f>'Dự thu chiết khấu'!L72</f>
        <v>RLNVBL9K4TT713277</v>
      </c>
      <c r="F75" s="5" t="s">
        <v>122</v>
      </c>
      <c r="G75" s="5" t="str" cm="1">
        <f t="array" ref="G75">IFERROR(INDEX('DT-GV'!$X$6:$X$213,MATCH(1,('DT-GV'!$H$6:$H$213=E75)*('DT-GV'!$R$6:$R$213&lt;&gt;0),0)),IFERROR(VLOOKUP(E75,'DT-GV'!$H$6:$X$213,17,0),""))</f>
        <v>QTKD</v>
      </c>
      <c r="H75" s="8" t="str">
        <f>VLOOKUP(E75,'Dự thu chiết khấu'!$L$3:$M$226,2,0)</f>
        <v>S11007</v>
      </c>
      <c r="I75">
        <v>1</v>
      </c>
      <c r="J75" s="11">
        <f>VLOOKUP(E75,'Dự thu chiết khấu'!$L$3:$P$226,5,0)</f>
        <v>323000000</v>
      </c>
      <c r="K75" s="12">
        <f t="shared" si="8"/>
        <v>19380000</v>
      </c>
      <c r="L75" s="12">
        <f t="shared" si="9"/>
        <v>0</v>
      </c>
      <c r="M75" s="13">
        <f>IFERROR(VLOOKUP(E75,'Dự thu chiết khấu'!$L$3:$R$226,7,0),0)</f>
        <v>0</v>
      </c>
      <c r="N75" s="14">
        <f>IFERROR(VLOOKUP(E75,'Dự thu chiết khấu'!$L$3:$S$226,8,0),0)</f>
        <v>0</v>
      </c>
      <c r="O75" s="11">
        <f>IF(IFERROR(VLOOKUP(E75,'Dự thu chiết khấu'!$L$3:$T$226,9,0),0)&gt;0,J75*$O$5,0)</f>
        <v>9690000</v>
      </c>
      <c r="P75" s="13">
        <f>IFERROR(VLOOKUP(E75,'Dự thu chiết khấu'!$L$3:$U$226,10,0),0)</f>
        <v>0</v>
      </c>
      <c r="Q75" s="12">
        <f>IFERROR(VLOOKUP(E75,'Dự thu chiết khấu'!$L$3:$V$226,11,0),0)</f>
        <v>0</v>
      </c>
      <c r="R75" s="12">
        <f>VLOOKUP($E75,'Dự thu chiết khấu'!$L$3:$W$226,12,0)</f>
        <v>6000000</v>
      </c>
      <c r="S75" s="12">
        <f t="shared" si="10"/>
        <v>261754545.45454544</v>
      </c>
      <c r="T75" s="11">
        <f t="shared" si="11"/>
        <v>0.45454543828964233</v>
      </c>
      <c r="U75" s="15">
        <f>SUMIFS('DT-GV'!$N$6:$N$213,'DT-GV'!$H$6:$H$213,E75,'DT-GV'!$R$6:$R$213,"&lt;&gt;0")</f>
        <v>261754545</v>
      </c>
      <c r="V75" s="48">
        <f>SUMIFS('DT-GV'!$N$6:$N$213,'DT-GV'!$H$6:$H$213,E75,'DT-GV'!$R$6:$R$213,0)</f>
        <v>0</v>
      </c>
      <c r="W75" s="15">
        <f>-SUMIFS('DT-GV'!$R$6:$R$213,'DT-GV'!$H$6:$H$213,E75)</f>
        <v>-281890909</v>
      </c>
      <c r="X75" s="11">
        <f>IFERROR(VLOOKUP($E75,'Dự thu chiết khấu'!$L$3:$AK$226,26,0)/1.1,0)</f>
        <v>25370181.818181816</v>
      </c>
      <c r="Y75" s="11">
        <f>IFERROR(VLOOKUP($E75,'Dự thu chiết khấu'!$L$3:$BE$226,46,0)/1.1,0)</f>
        <v>2672090.9090909087</v>
      </c>
      <c r="Z75" s="11">
        <f>-SUMIF('Lương năng suất'!$R$4:$R$208,E75,'Lương năng suất'!$AQ$4:$AQ$208)</f>
        <v>-2000000</v>
      </c>
      <c r="AA75" s="213" t="str">
        <f>IFERROR(IF(ISNUMBER(SEARCH("TẶNG",VLOOKUP(E75,'Dự thu chiết khấu'!$L$3:$AV$226,37,0))),"TẶNG",""),"")</f>
        <v/>
      </c>
      <c r="AB75" s="213" t="str">
        <f>IFERROR(IF(ISNUMBER(SEARCH("TẶNG",VLOOKUP(E75,'Dự thu chiết khấu'!$L$3:$AW$226,38,0))),"TẶNG",""),"")</f>
        <v/>
      </c>
      <c r="AC75" s="49">
        <f t="shared" si="12"/>
        <v>5905908.7272727247</v>
      </c>
      <c r="AD75" s="11">
        <f>IFERROR(VLOOKUP(E75,'Dự thu chiết khấu'!$L$3:$AM$226,28,0),0)</f>
        <v>0</v>
      </c>
      <c r="AE75" s="11">
        <f>IFERROR(VLOOKUP(E75,'Dự thu chiết khấu'!$L$3:$AN$226,29,0),0)</f>
        <v>5000000</v>
      </c>
      <c r="AF75" s="11">
        <f>IFERROR(VLOOKUP(E75,'Dự thu chiết khấu'!$L$3:$AO$226,30,0),0)</f>
        <v>5000000</v>
      </c>
    </row>
    <row r="76" spans="1:32">
      <c r="A76">
        <v>70</v>
      </c>
      <c r="B76" t="str">
        <f>IFERROR(INDEX('Dự thu chiết khấu'!$E:$E,MATCH(E76,'Dự thu chiết khấu'!$L:$L,0)),"")</f>
        <v>PHẠM TRUNG KIÊN</v>
      </c>
      <c r="C76" s="51" t="str">
        <f>IFERROR(INDEX('Dự thu chiết khấu'!$F:$F,MATCH(E76,'Dự thu chiết khấu'!$L:$L,0)),"")</f>
        <v>TRẦN THỊ KIM THẢO</v>
      </c>
      <c r="D76" s="4" t="str">
        <f>IFERROR(INDEX('Dự thu chiết khấu'!$H:$H,MATCH(E76,'Dự thu chiết khấu'!$L:$L,0)),"")</f>
        <v>MPV 7</v>
      </c>
      <c r="E76" s="4" t="str">
        <f>'Dự thu chiết khấu'!L73</f>
        <v>RLLVFPTT6TH732633</v>
      </c>
      <c r="F76" s="5" t="s">
        <v>122</v>
      </c>
      <c r="G76" s="5" t="str" cm="1">
        <f t="array" ref="G76">IFERROR(INDEX('DT-GV'!$X$6:$X$213,MATCH(1,('DT-GV'!$H$6:$H$213=E76)*('DT-GV'!$R$6:$R$213&lt;&gt;0),0)),IFERROR(VLOOKUP(E76,'DT-GV'!$H$6:$X$213,17,0),""))</f>
        <v>QTKD</v>
      </c>
      <c r="H76" s="6" t="str">
        <f>VLOOKUP(E76,'Dự thu chiết khấu'!$L$3:$M$226,2,0)</f>
        <v>S11006</v>
      </c>
      <c r="I76">
        <v>1</v>
      </c>
      <c r="J76" s="11">
        <f>VLOOKUP(E76,'Dự thu chiết khấu'!$L$3:$P$226,5,0)</f>
        <v>819000000</v>
      </c>
      <c r="K76" s="12">
        <f t="shared" si="8"/>
        <v>49140000</v>
      </c>
      <c r="L76" s="12">
        <f t="shared" si="9"/>
        <v>0</v>
      </c>
      <c r="M76" s="13">
        <f>IFERROR(VLOOKUP(E76,'Dự thu chiết khấu'!$L$3:$R$226,7,0),0)</f>
        <v>0</v>
      </c>
      <c r="N76" s="14">
        <f>IFERROR(VLOOKUP(E76,'Dự thu chiết khấu'!$L$3:$S$226,8,0),0)</f>
        <v>0</v>
      </c>
      <c r="O76" s="11">
        <f>IF(IFERROR(VLOOKUP(E76,'Dự thu chiết khấu'!$L$3:$T$226,9,0),0)&gt;0,J76*$O$5,0)</f>
        <v>0</v>
      </c>
      <c r="P76" s="13">
        <f>IFERROR(VLOOKUP(E76,'Dự thu chiết khấu'!$L$3:$U$226,10,0),0)</f>
        <v>0</v>
      </c>
      <c r="Q76" s="12">
        <f>IFERROR(VLOOKUP(E76,'Dự thu chiết khấu'!$L$3:$V$226,11,0),0)</f>
        <v>0</v>
      </c>
      <c r="R76" s="12">
        <f>VLOOKUP($E76,'Dự thu chiết khấu'!$L$3:$W$226,12,0)</f>
        <v>15000000</v>
      </c>
      <c r="S76" s="12">
        <f t="shared" si="10"/>
        <v>686236363.63636363</v>
      </c>
      <c r="T76" s="11">
        <f t="shared" si="11"/>
        <v>-0.36363637447357178</v>
      </c>
      <c r="U76" s="15">
        <f>SUMIFS('DT-GV'!$N$6:$N$213,'DT-GV'!$H$6:$H$213,E76,'DT-GV'!$R$6:$R$213,"&lt;&gt;0")</f>
        <v>686236364</v>
      </c>
      <c r="V76" s="48">
        <f>SUMIFS('DT-GV'!$N$6:$N$213,'DT-GV'!$H$6:$H$213,E76,'DT-GV'!$R$6:$R$213,0)</f>
        <v>0</v>
      </c>
      <c r="W76" s="15">
        <f>-SUMIFS('DT-GV'!$R$6:$R$213,'DT-GV'!$H$6:$H$213,E76)</f>
        <v>-714763636</v>
      </c>
      <c r="X76" s="11">
        <f>IFERROR(VLOOKUP($E76,'Dự thu chiết khấu'!$L$3:$AK$226,26,0)/1.1,0)</f>
        <v>42885818.18181818</v>
      </c>
      <c r="Y76" s="11">
        <f>IFERROR(VLOOKUP($E76,'Dự thu chiết khấu'!$L$3:$BE$226,46,0)/1.1,0)</f>
        <v>0</v>
      </c>
      <c r="Z76" s="11">
        <f>-SUMIF('Lương năng suất'!$R$4:$R$208,E76,'Lương năng suất'!$AQ$4:$AQ$208)</f>
        <v>-3000000</v>
      </c>
      <c r="AA76" s="213" t="str">
        <f>IFERROR(IF(ISNUMBER(SEARCH("TẶNG",VLOOKUP(E76,'Dự thu chiết khấu'!$L$3:$AV$226,37,0))),"TẶNG",""),"")</f>
        <v/>
      </c>
      <c r="AB76" s="213" t="str">
        <f>IFERROR(IF(ISNUMBER(SEARCH("TẶNG",VLOOKUP(E76,'Dự thu chiết khấu'!$L$3:$AW$226,38,0))),"TẶNG",""),"")</f>
        <v/>
      </c>
      <c r="AC76" s="49">
        <f t="shared" si="12"/>
        <v>11358546.18181818</v>
      </c>
      <c r="AD76" s="11">
        <f>IFERROR(VLOOKUP(E76,'Dự thu chiết khấu'!$L$3:$AM$226,28,0),0)</f>
        <v>0</v>
      </c>
      <c r="AE76" s="11">
        <f>IFERROR(VLOOKUP(E76,'Dự thu chiết khấu'!$L$3:$AN$226,29,0),0)</f>
        <v>15000000</v>
      </c>
      <c r="AF76" s="11">
        <f>IFERROR(VLOOKUP(E76,'Dự thu chiết khấu'!$L$3:$AO$226,30,0),0)</f>
        <v>0</v>
      </c>
    </row>
    <row r="77" spans="1:32">
      <c r="A77" s="11">
        <v>71</v>
      </c>
      <c r="B77" t="str">
        <f>IFERROR(INDEX('Dự thu chiết khấu'!$E:$E,MATCH(E77,'Dự thu chiết khấu'!$L:$L,0)),"")</f>
        <v>HÀ DUY KHANG</v>
      </c>
      <c r="C77" s="51" t="str">
        <f>IFERROR(INDEX('Dự thu chiết khấu'!$F:$F,MATCH(E77,'Dự thu chiết khấu'!$L:$L,0)),"")</f>
        <v>NGUYỄN TƯỜNG VY</v>
      </c>
      <c r="D77" s="4" t="str">
        <f>IFERROR(INDEX('Dự thu chiết khấu'!$H:$H,MATCH(E77,'Dự thu chiết khấu'!$L:$L,0)),"")</f>
        <v>VF 3</v>
      </c>
      <c r="E77" s="4" t="str">
        <f>'Dự thu chiết khấu'!L74</f>
        <v>RLNVBL9K3TT714159</v>
      </c>
      <c r="F77" s="5" t="s">
        <v>122</v>
      </c>
      <c r="G77" s="5" t="str" cm="1">
        <f t="array" ref="G77">IFERROR(INDEX('DT-GV'!$X$6:$X$213,MATCH(1,('DT-GV'!$H$6:$H$213=E77)*('DT-GV'!$R$6:$R$213&lt;&gt;0),0)),IFERROR(VLOOKUP(E77,'DT-GV'!$H$6:$X$213,17,0),""))</f>
        <v>QTKD</v>
      </c>
      <c r="H77" s="6" t="str">
        <f>VLOOKUP(E77,'Dự thu chiết khấu'!$L$3:$M$226,2,0)</f>
        <v>S11007</v>
      </c>
      <c r="I77">
        <v>1</v>
      </c>
      <c r="J77" s="11">
        <f>VLOOKUP(E77,'Dự thu chiết khấu'!$L$3:$P$226,5,0)</f>
        <v>302000000</v>
      </c>
      <c r="K77" s="12">
        <f t="shared" si="8"/>
        <v>0</v>
      </c>
      <c r="L77" s="12">
        <f t="shared" si="9"/>
        <v>0</v>
      </c>
      <c r="M77" s="13">
        <f>IFERROR(VLOOKUP(E77,'Dự thu chiết khấu'!$L$3:$R$226,7,0),0)</f>
        <v>7.0000000000000007E-2</v>
      </c>
      <c r="N77" s="14">
        <f>IFERROR(VLOOKUP(E77,'Dự thu chiết khấu'!$L$3:$S$226,8,0),0)</f>
        <v>5.0000000000000001E-3</v>
      </c>
      <c r="O77" s="11">
        <f>IF(IFERROR(VLOOKUP(E77,'Dự thu chiết khấu'!$L$3:$T$226,9,0),0)&gt;0,J77*$O$5,0)</f>
        <v>0</v>
      </c>
      <c r="P77" s="13">
        <f>IFERROR(VLOOKUP(E77,'Dự thu chiết khấu'!$L$3:$U$226,10,0),0)</f>
        <v>0</v>
      </c>
      <c r="Q77" s="12">
        <f>IFERROR(VLOOKUP(E77,'Dự thu chiết khấu'!$L$3:$V$226,11,0),0)</f>
        <v>0</v>
      </c>
      <c r="R77" s="12">
        <f>VLOOKUP($E77,'Dự thu chiết khấu'!$L$3:$W$226,12,0)</f>
        <v>4990000</v>
      </c>
      <c r="S77" s="12">
        <f t="shared" si="10"/>
        <v>268636363.63636363</v>
      </c>
      <c r="T77" s="11">
        <f t="shared" si="11"/>
        <v>-0.36363637447357178</v>
      </c>
      <c r="U77" s="15">
        <f>SUMIFS('DT-GV'!$N$6:$N$213,'DT-GV'!$H$6:$H$213,E77,'DT-GV'!$R$6:$R$213,"&lt;&gt;0")</f>
        <v>268636364</v>
      </c>
      <c r="V77" s="48">
        <f>SUMIFS('DT-GV'!$N$6:$N$213,'DT-GV'!$H$6:$H$213,E77,'DT-GV'!$R$6:$R$213,0)</f>
        <v>0</v>
      </c>
      <c r="W77" s="15">
        <f>-SUMIFS('DT-GV'!$R$6:$R$213,'DT-GV'!$H$6:$H$213,E77)</f>
        <v>-263563636</v>
      </c>
      <c r="X77" s="11">
        <f>IFERROR(VLOOKUP($E77,'Dự thu chiết khấu'!$L$3:$AK$226,26,0)/1.1,0)</f>
        <v>1317818.1818181816</v>
      </c>
      <c r="Y77" s="11">
        <f>IFERROR(VLOOKUP($E77,'Dự thu chiết khấu'!$L$3:$BE$226,46,0)/1.1,0)</f>
        <v>2731727.2727272725</v>
      </c>
      <c r="Z77" s="11">
        <f>-SUMIF('Lương năng suất'!$R$4:$R$208,E77,'Lương năng suất'!$AQ$4:$AQ$208)</f>
        <v>-1806000</v>
      </c>
      <c r="AA77" s="213" t="str">
        <f>IFERROR(IF(ISNUMBER(SEARCH("TẶNG",VLOOKUP(E77,'Dự thu chiết khấu'!$L$3:$AV$226,37,0))),"TẶNG",""),"")</f>
        <v/>
      </c>
      <c r="AB77" s="213" t="str">
        <f>IFERROR(IF(ISNUMBER(SEARCH("TẶNG",VLOOKUP(E77,'Dự thu chiết khấu'!$L$3:$AW$226,38,0))),"TẶNG",""),"")</f>
        <v/>
      </c>
      <c r="AC77" s="49">
        <f t="shared" si="12"/>
        <v>7316273.4545454532</v>
      </c>
      <c r="AD77" s="11">
        <f>IFERROR(VLOOKUP(E77,'Dự thu chiết khấu'!$L$3:$AM$226,28,0),0)</f>
        <v>0</v>
      </c>
      <c r="AE77" s="11">
        <f>IFERROR(VLOOKUP(E77,'Dự thu chiết khấu'!$L$3:$AN$226,29,0),0)</f>
        <v>0</v>
      </c>
      <c r="AF77" s="11">
        <f>IFERROR(VLOOKUP(E77,'Dự thu chiết khấu'!$L$3:$AO$226,30,0),0)</f>
        <v>0</v>
      </c>
    </row>
    <row r="78" spans="1:32">
      <c r="A78">
        <v>72</v>
      </c>
      <c r="B78" t="str">
        <f>IFERROR(INDEX('Dự thu chiết khấu'!$E:$E,MATCH(E78,'Dự thu chiết khấu'!$L:$L,0)),"")</f>
        <v>HUỲNH THANH TÀI</v>
      </c>
      <c r="C78" s="51" t="str">
        <f>IFERROR(INDEX('Dự thu chiết khấu'!$F:$F,MATCH(E78,'Dự thu chiết khấu'!$L:$L,0)),"")</f>
        <v>ĐỖ THỊ LAN CHI</v>
      </c>
      <c r="D78" s="4" t="str">
        <f>IFERROR(INDEX('Dự thu chiết khấu'!$H:$H,MATCH(E78,'Dự thu chiết khấu'!$L:$L,0)),"")</f>
        <v>MPV 7</v>
      </c>
      <c r="E78" s="4" t="str">
        <f>'Dự thu chiết khấu'!L75</f>
        <v>RLLVFPTT6TH731935</v>
      </c>
      <c r="F78" s="5" t="s">
        <v>122</v>
      </c>
      <c r="G78" s="5" t="str" cm="1">
        <f t="array" ref="G78">IFERROR(INDEX('DT-GV'!$X$6:$X$213,MATCH(1,('DT-GV'!$H$6:$H$213=E78)*('DT-GV'!$R$6:$R$213&lt;&gt;0),0)),IFERROR(VLOOKUP(E78,'DT-GV'!$H$6:$X$213,17,0),""))</f>
        <v>QTKD</v>
      </c>
      <c r="H78" s="6" t="str">
        <f>VLOOKUP(E78,'Dự thu chiết khấu'!$L$3:$M$226,2,0)</f>
        <v>S11007</v>
      </c>
      <c r="I78">
        <v>1</v>
      </c>
      <c r="J78" s="11">
        <f>VLOOKUP(E78,'Dự thu chiết khấu'!$L$3:$P$226,5,0)</f>
        <v>819000000</v>
      </c>
      <c r="K78" s="12">
        <f t="shared" si="8"/>
        <v>49140000</v>
      </c>
      <c r="L78" s="12">
        <f t="shared" si="9"/>
        <v>0</v>
      </c>
      <c r="M78" s="13">
        <f>IFERROR(VLOOKUP(E78,'Dự thu chiết khấu'!$L$3:$R$226,7,0),0)</f>
        <v>0</v>
      </c>
      <c r="N78" s="14">
        <f>IFERROR(VLOOKUP(E78,'Dự thu chiết khấu'!$L$3:$S$226,8,0),0)</f>
        <v>0</v>
      </c>
      <c r="O78" s="11">
        <f>IF(IFERROR(VLOOKUP(E78,'Dự thu chiết khấu'!$L$3:$T$226,9,0),0)&gt;0,J78*$O$5,0)</f>
        <v>0</v>
      </c>
      <c r="P78" s="13">
        <f>IFERROR(VLOOKUP(E78,'Dự thu chiết khấu'!$L$3:$U$226,10,0),0)</f>
        <v>0</v>
      </c>
      <c r="Q78" s="12">
        <f>IFERROR(VLOOKUP(E78,'Dự thu chiết khấu'!$L$3:$V$226,11,0),0)</f>
        <v>0</v>
      </c>
      <c r="R78" s="12">
        <f>VLOOKUP($E78,'Dự thu chiết khấu'!$L$3:$W$226,12,0)</f>
        <v>0</v>
      </c>
      <c r="S78" s="12">
        <f t="shared" si="10"/>
        <v>699872727.27272725</v>
      </c>
      <c r="T78" s="11">
        <f t="shared" si="11"/>
        <v>0.27272725105285645</v>
      </c>
      <c r="U78" s="15">
        <f>SUMIFS('DT-GV'!$N$6:$N$213,'DT-GV'!$H$6:$H$213,E78,'DT-GV'!$R$6:$R$213,"&lt;&gt;0")</f>
        <v>699872727</v>
      </c>
      <c r="V78" s="48">
        <f>SUMIFS('DT-GV'!$N$6:$N$213,'DT-GV'!$H$6:$H$213,E78,'DT-GV'!$R$6:$R$213,0)</f>
        <v>0</v>
      </c>
      <c r="W78" s="15">
        <f>-SUMIFS('DT-GV'!$R$6:$R$213,'DT-GV'!$H$6:$H$213,E78)</f>
        <v>-714763636</v>
      </c>
      <c r="X78" s="11">
        <f>IFERROR(VLOOKUP($E78,'Dự thu chiết khấu'!$L$3:$AK$226,26,0)/1.1,0)</f>
        <v>42885818.18181818</v>
      </c>
      <c r="Y78" s="11">
        <f>IFERROR(VLOOKUP($E78,'Dự thu chiết khấu'!$L$3:$BE$226,46,0)/1.1,0)</f>
        <v>6998727.2727272725</v>
      </c>
      <c r="Z78" s="11">
        <f>-SUMIF('Lương năng suất'!$R$4:$R$208,E78,'Lương năng suất'!$AQ$4:$AQ$208)</f>
        <v>-12000000</v>
      </c>
      <c r="AA78" s="213" t="str">
        <f>IFERROR(IF(ISNUMBER(SEARCH("TẶNG",VLOOKUP(E78,'Dự thu chiết khấu'!$L$3:$AV$226,37,0))),"TẶNG",""),"")</f>
        <v/>
      </c>
      <c r="AB78" s="213" t="str">
        <f>IFERROR(IF(ISNUMBER(SEARCH("TẶNG",VLOOKUP(E78,'Dự thu chiết khấu'!$L$3:$AW$226,38,0))),"TẶNG",""),"")</f>
        <v/>
      </c>
      <c r="AC78" s="49">
        <f t="shared" si="12"/>
        <v>22993636.454545453</v>
      </c>
      <c r="AD78" s="11">
        <f>IFERROR(VLOOKUP(E78,'Dự thu chiết khấu'!$L$3:$AM$226,28,0),0)</f>
        <v>0</v>
      </c>
      <c r="AE78" s="11">
        <f>IFERROR(VLOOKUP(E78,'Dự thu chiết khấu'!$L$3:$AN$226,29,0),0)</f>
        <v>15000000</v>
      </c>
      <c r="AF78" s="11">
        <f>IFERROR(VLOOKUP(E78,'Dự thu chiết khấu'!$L$3:$AO$226,30,0),0)</f>
        <v>10000000</v>
      </c>
    </row>
    <row r="79" spans="1:32">
      <c r="A79" s="11">
        <v>73</v>
      </c>
      <c r="B79" t="str">
        <f>IFERROR(INDEX('Dự thu chiết khấu'!$E:$E,MATCH(E79,'Dự thu chiết khấu'!$L:$L,0)),"")</f>
        <v>Phan Duy Đức</v>
      </c>
      <c r="C79" s="51" t="str">
        <f>IFERROR(INDEX('Dự thu chiết khấu'!$F:$F,MATCH(E79,'Dự thu chiết khấu'!$L:$L,0)),"")</f>
        <v>Trần Thị Thu Anh</v>
      </c>
      <c r="D79" s="4" t="str">
        <f>IFERROR(INDEX('Dự thu chiết khấu'!$H:$H,MATCH(E79,'Dự thu chiết khấu'!$L:$L,0)),"")</f>
        <v>LIMO GREEN</v>
      </c>
      <c r="E79" s="4" t="str">
        <f>'Dự thu chiết khấu'!L76</f>
        <v>RLLVFPNT1TH743021</v>
      </c>
      <c r="F79" s="5" t="s">
        <v>138</v>
      </c>
      <c r="G79" s="5" t="str" cm="1">
        <f t="array" ref="G79">IFERROR(INDEX('DT-GV'!$X$6:$X$213,MATCH(1,('DT-GV'!$H$6:$H$213=E79)*('DT-GV'!$R$6:$R$213&lt;&gt;0),0)),IFERROR(VLOOKUP(E79,'DT-GV'!$H$6:$X$213,17,0),""))</f>
        <v>Q9KD</v>
      </c>
      <c r="H79" s="8" t="str">
        <f>VLOOKUP(E79,'Dự thu chiết khấu'!$L$3:$M$226,2,0)</f>
        <v>S11007</v>
      </c>
      <c r="I79">
        <v>1</v>
      </c>
      <c r="J79" s="11">
        <f>VLOOKUP(E79,'Dự thu chiết khấu'!$L$3:$P$226,5,0)</f>
        <v>749000000</v>
      </c>
      <c r="K79" s="12">
        <f t="shared" si="8"/>
        <v>44940000</v>
      </c>
      <c r="L79" s="12">
        <f t="shared" si="9"/>
        <v>0</v>
      </c>
      <c r="M79" s="13">
        <f>IFERROR(VLOOKUP(E79,'Dự thu chiết khấu'!$L$3:$R$226,7,0),0)</f>
        <v>0</v>
      </c>
      <c r="N79" s="14">
        <f>IFERROR(VLOOKUP(E79,'Dự thu chiết khấu'!$L$3:$S$226,8,0),0)</f>
        <v>0</v>
      </c>
      <c r="O79" s="11">
        <f>IF(IFERROR(VLOOKUP(E79,'Dự thu chiết khấu'!$L$3:$T$226,9,0),0)&gt;0,J79*$O$5,0)</f>
        <v>0</v>
      </c>
      <c r="P79" s="13">
        <f>IFERROR(VLOOKUP(E79,'Dự thu chiết khấu'!$L$3:$U$226,10,0),0)</f>
        <v>0</v>
      </c>
      <c r="Q79" s="12">
        <f>IFERROR(VLOOKUP(E79,'Dự thu chiết khấu'!$L$3:$V$226,11,0),0)</f>
        <v>0</v>
      </c>
      <c r="R79" s="12">
        <f>VLOOKUP($E79,'Dự thu chiết khấu'!$L$3:$W$226,12,0)</f>
        <v>10000000</v>
      </c>
      <c r="S79" s="12">
        <f t="shared" si="10"/>
        <v>630963636.36363626</v>
      </c>
      <c r="T79" s="11">
        <f t="shared" si="11"/>
        <v>0.36363625526428223</v>
      </c>
      <c r="U79" s="15">
        <f>SUMIFS('DT-GV'!$N$6:$N$213,'DT-GV'!$H$6:$H$213,E79,'DT-GV'!$R$6:$R$213,"&lt;&gt;0")</f>
        <v>630963636</v>
      </c>
      <c r="V79" s="48">
        <f>SUMIFS('DT-GV'!$N$6:$N$213,'DT-GV'!$H$6:$H$213,E79,'DT-GV'!$R$6:$R$213,0)</f>
        <v>0</v>
      </c>
      <c r="W79" s="15">
        <f>-SUMIFS('DT-GV'!$R$6:$R$213,'DT-GV'!$H$6:$H$213,E79)</f>
        <v>-653672727</v>
      </c>
      <c r="X79" s="11">
        <f>IFERROR(VLOOKUP($E79,'Dự thu chiết khấu'!$L$3:$AK$226,26,0)/1.1,0)</f>
        <v>39220363.636363633</v>
      </c>
      <c r="Y79" s="11">
        <f>IFERROR(VLOOKUP($E79,'Dự thu chiết khấu'!$L$3:$BE$226,46,0)/1.1,0)</f>
        <v>6400545.4545454541</v>
      </c>
      <c r="Z79" s="11">
        <f>-SUMIF('Lương năng suất'!$R$4:$R$208,E79,'Lương năng suất'!$AQ$4:$AQ$208)</f>
        <v>-7200000</v>
      </c>
      <c r="AA79" s="213" t="str">
        <f>IFERROR(IF(ISNUMBER(SEARCH("TẶNG",VLOOKUP(E79,'Dự thu chiết khấu'!$L$3:$AV$226,37,0))),"TẶNG",""),"")</f>
        <v/>
      </c>
      <c r="AB79" s="213" t="str">
        <f>IFERROR(IF(ISNUMBER(SEARCH("TẶNG",VLOOKUP(E79,'Dự thu chiết khấu'!$L$3:$AW$226,38,0))),"TẶNG",""),"")</f>
        <v/>
      </c>
      <c r="AC79" s="49">
        <f t="shared" si="12"/>
        <v>15711818.090909086</v>
      </c>
      <c r="AD79" s="11">
        <f>IFERROR(VLOOKUP(E79,'Dự thu chiết khấu'!$L$3:$AM$226,28,0),0)</f>
        <v>0</v>
      </c>
      <c r="AE79" s="11">
        <f>IFERROR(VLOOKUP(E79,'Dự thu chiết khấu'!$L$3:$AN$226,29,0),0)</f>
        <v>0</v>
      </c>
      <c r="AF79" s="11">
        <f>IFERROR(VLOOKUP(E79,'Dự thu chiết khấu'!$L$3:$AO$226,30,0),0)</f>
        <v>0</v>
      </c>
    </row>
    <row r="80" spans="1:32">
      <c r="A80">
        <v>74</v>
      </c>
      <c r="B80" t="str">
        <f>IFERROR(INDEX('Dự thu chiết khấu'!$E:$E,MATCH(E80,'Dự thu chiết khấu'!$L:$L,0)),"")</f>
        <v>Nguyễn Phương Linh</v>
      </c>
      <c r="C80" s="51" t="str">
        <f>IFERROR(INDEX('Dự thu chiết khấu'!$F:$F,MATCH(E80,'Dự thu chiết khấu'!$L:$L,0)),"")</f>
        <v>Điền Đức Nhật</v>
      </c>
      <c r="D80" s="4" t="str">
        <f>IFERROR(INDEX('Dự thu chiết khấu'!$H:$H,MATCH(E80,'Dự thu chiết khấu'!$L:$L,0)),"")</f>
        <v>VF 3</v>
      </c>
      <c r="E80" s="4" t="str">
        <f>'Dự thu chiết khấu'!L77</f>
        <v>RLNVBL9K7ST716429</v>
      </c>
      <c r="F80" s="5" t="s">
        <v>138</v>
      </c>
      <c r="G80" s="5" t="str" cm="1">
        <f t="array" ref="G80">IFERROR(INDEX('DT-GV'!$X$6:$X$213,MATCH(1,('DT-GV'!$H$6:$H$213=E80)*('DT-GV'!$R$6:$R$213&lt;&gt;0),0)),IFERROR(VLOOKUP(E80,'DT-GV'!$H$6:$X$213,17,0),""))</f>
        <v>Q9KD</v>
      </c>
      <c r="H80" s="6" t="str">
        <f>VLOOKUP(E80,'Dự thu chiết khấu'!$L$3:$M$226,2,0)</f>
        <v>S11007</v>
      </c>
      <c r="I80">
        <v>1</v>
      </c>
      <c r="J80" s="11">
        <f>VLOOKUP(E80,'Dự thu chiết khấu'!$L$3:$P$226,5,0)</f>
        <v>310000000</v>
      </c>
      <c r="K80" s="12">
        <f t="shared" si="8"/>
        <v>18600000</v>
      </c>
      <c r="L80" s="12">
        <f t="shared" si="9"/>
        <v>0</v>
      </c>
      <c r="M80" s="13">
        <f>IFERROR(VLOOKUP(E80,'Dự thu chiết khấu'!$L$3:$R$226,7,0),0)</f>
        <v>0</v>
      </c>
      <c r="N80" s="14">
        <f>IFERROR(VLOOKUP(E80,'Dự thu chiết khấu'!$L$3:$S$226,8,0),0)</f>
        <v>0</v>
      </c>
      <c r="O80" s="11">
        <f>IF(IFERROR(VLOOKUP(E80,'Dự thu chiết khấu'!$L$3:$T$226,9,0),0)&gt;0,J80*$O$5,0)</f>
        <v>9300000</v>
      </c>
      <c r="P80" s="13">
        <f>IFERROR(VLOOKUP(E80,'Dự thu chiết khấu'!$L$3:$U$226,10,0),0)</f>
        <v>0</v>
      </c>
      <c r="Q80" s="12">
        <f>IFERROR(VLOOKUP(E80,'Dự thu chiết khấu'!$L$3:$V$226,11,0),0)</f>
        <v>18000000</v>
      </c>
      <c r="R80" s="12">
        <f>VLOOKUP($E80,'Dự thu chiết khấu'!$L$3:$W$226,12,0)</f>
        <v>0</v>
      </c>
      <c r="S80" s="12">
        <f t="shared" si="10"/>
        <v>240090909.09090906</v>
      </c>
      <c r="T80" s="11">
        <f t="shared" si="11"/>
        <v>9.0909063816070557E-2</v>
      </c>
      <c r="U80" s="15">
        <f>SUMIFS('DT-GV'!$N$6:$N$213,'DT-GV'!$H$6:$H$213,E80,'DT-GV'!$R$6:$R$213,"&lt;&gt;0")</f>
        <v>240090909</v>
      </c>
      <c r="V80" s="48">
        <f>SUMIFS('DT-GV'!$N$6:$N$213,'DT-GV'!$H$6:$H$213,E80,'DT-GV'!$R$6:$R$213,0)</f>
        <v>0</v>
      </c>
      <c r="W80" s="15">
        <f>-SUMIFS('DT-GV'!$R$6:$R$213,'DT-GV'!$H$6:$H$213,E80)</f>
        <v>-270545455</v>
      </c>
      <c r="X80" s="11">
        <f>IFERROR(VLOOKUP($E80,'Dự thu chiết khấu'!$L$3:$AK$226,26,0)/1.1,0)</f>
        <v>40058181.818181813</v>
      </c>
      <c r="Y80" s="11">
        <f>IFERROR(VLOOKUP($E80,'Dự thu chiết khấu'!$L$3:$BE$226,46,0)/1.1,0)</f>
        <v>2400909.0909090908</v>
      </c>
      <c r="Z80" s="11">
        <f>-SUMIF('Lương năng suất'!$R$4:$R$208,E80,'Lương năng suất'!$AQ$4:$AQ$208)</f>
        <v>-6400000</v>
      </c>
      <c r="AA80" s="213" t="str">
        <f>IFERROR(IF(ISNUMBER(SEARCH("TẶNG",VLOOKUP(E80,'Dự thu chiết khấu'!$L$3:$AV$226,37,0))),"TẶNG",""),"")</f>
        <v/>
      </c>
      <c r="AB80" s="213" t="str">
        <f>IFERROR(IF(ISNUMBER(SEARCH("TẶNG",VLOOKUP(E80,'Dự thu chiết khấu'!$L$3:$AW$226,38,0))),"TẶNG",""),"")</f>
        <v/>
      </c>
      <c r="AC80" s="49">
        <f t="shared" si="12"/>
        <v>5604544.9090909027</v>
      </c>
      <c r="AD80" s="11">
        <f>IFERROR(VLOOKUP(E80,'Dự thu chiết khấu'!$L$3:$AM$226,28,0),0)</f>
        <v>0</v>
      </c>
      <c r="AE80" s="11">
        <f>IFERROR(VLOOKUP(E80,'Dự thu chiết khấu'!$L$3:$AN$226,29,0),0)</f>
        <v>0</v>
      </c>
      <c r="AF80" s="11">
        <f>IFERROR(VLOOKUP(E80,'Dự thu chiết khấu'!$L$3:$AO$226,30,0),0)</f>
        <v>0</v>
      </c>
    </row>
    <row r="81" spans="1:32">
      <c r="A81" s="11">
        <v>75</v>
      </c>
      <c r="B81" t="str">
        <f>IFERROR(INDEX('Dự thu chiết khấu'!$E:$E,MATCH(E81,'Dự thu chiết khấu'!$L:$L,0)),"")</f>
        <v>Nguyễn Phương Linh</v>
      </c>
      <c r="C81" s="51" t="str">
        <f>IFERROR(INDEX('Dự thu chiết khấu'!$F:$F,MATCH(E81,'Dự thu chiết khấu'!$L:$L,0)),"")</f>
        <v>Nguyễn Thị Hồng Linh</v>
      </c>
      <c r="D81" s="4" t="str">
        <f>IFERROR(INDEX('Dự thu chiết khấu'!$H:$H,MATCH(E81,'Dự thu chiết khấu'!$L:$L,0)),"")</f>
        <v>VF 7</v>
      </c>
      <c r="E81" s="4" t="str">
        <f>'Dự thu chiết khấu'!L78</f>
        <v>RLLV3F5D3TH727463</v>
      </c>
      <c r="F81" s="5" t="s">
        <v>138</v>
      </c>
      <c r="G81" s="5" t="str" cm="1">
        <f t="array" ref="G81">IFERROR(INDEX('DT-GV'!$X$6:$X$213,MATCH(1,('DT-GV'!$H$6:$H$213=E81)*('DT-GV'!$R$6:$R$213&lt;&gt;0),0)),IFERROR(VLOOKUP(E81,'DT-GV'!$H$6:$X$213,17,0),""))</f>
        <v>Q9KD</v>
      </c>
      <c r="H81" s="7" t="str">
        <f>VLOOKUP(E81,'Dự thu chiết khấu'!$L$3:$M$226,2,0)</f>
        <v>S11007</v>
      </c>
      <c r="I81">
        <v>1</v>
      </c>
      <c r="J81" s="11">
        <f>VLOOKUP(E81,'Dự thu chiết khấu'!$L$3:$P$226,5,0)</f>
        <v>799000000</v>
      </c>
      <c r="K81" s="12">
        <f t="shared" si="8"/>
        <v>47940000</v>
      </c>
      <c r="L81" s="12">
        <f t="shared" si="9"/>
        <v>0</v>
      </c>
      <c r="M81" s="13">
        <f>IFERROR(VLOOKUP(E81,'Dự thu chiết khấu'!$L$3:$R$226,7,0),0)</f>
        <v>0</v>
      </c>
      <c r="N81" s="14">
        <f>IFERROR(VLOOKUP(E81,'Dự thu chiết khấu'!$L$3:$S$226,8,0),0)</f>
        <v>0.01</v>
      </c>
      <c r="O81" s="11">
        <f>IF(IFERROR(VLOOKUP(E81,'Dự thu chiết khấu'!$L$3:$T$226,9,0),0)&gt;0,J81*$O$5,0)</f>
        <v>0</v>
      </c>
      <c r="P81" s="13">
        <f>IFERROR(VLOOKUP(E81,'Dự thu chiết khấu'!$L$3:$U$226,10,0),0)</f>
        <v>0</v>
      </c>
      <c r="Q81" s="12">
        <f>IFERROR(VLOOKUP(E81,'Dự thu chiết khấu'!$L$3:$V$226,11,0),0)</f>
        <v>0</v>
      </c>
      <c r="R81" s="12">
        <f>VLOOKUP($E81,'Dự thu chiết khấu'!$L$3:$W$226,12,0)</f>
        <v>5000000</v>
      </c>
      <c r="S81" s="12">
        <f t="shared" si="10"/>
        <v>671544909.090909</v>
      </c>
      <c r="T81" s="11">
        <f t="shared" si="11"/>
        <v>9.0909004211425781E-2</v>
      </c>
      <c r="U81" s="15">
        <f>SUMIFS('DT-GV'!$N$6:$N$213,'DT-GV'!$H$6:$H$213,E81,'DT-GV'!$R$6:$R$213,"&lt;&gt;0")</f>
        <v>671544909</v>
      </c>
      <c r="V81" s="48">
        <f>SUMIFS('DT-GV'!$N$6:$N$213,'DT-GV'!$H$6:$H$213,E81,'DT-GV'!$R$6:$R$213,0)</f>
        <v>0</v>
      </c>
      <c r="W81" s="15">
        <f>-SUMIFS('DT-GV'!$R$6:$R$213,'DT-GV'!$H$6:$H$213,E81)</f>
        <v>-693677273</v>
      </c>
      <c r="X81" s="11">
        <f>IFERROR(VLOOKUP($E81,'Dự thu chiết khấu'!$L$3:$AK$226,26,0)/1.1,0)</f>
        <v>48010975.454545453</v>
      </c>
      <c r="Y81" s="11">
        <f>IFERROR(VLOOKUP($E81,'Dự thu chiết khấu'!$L$3:$BE$226,46,0)/1.1,0)</f>
        <v>6760903.6363636358</v>
      </c>
      <c r="Z81" s="11">
        <f>-SUMIF('Lương năng suất'!$R$4:$R$208,E81,'Lương năng suất'!$AQ$4:$AQ$208)</f>
        <v>-18400000</v>
      </c>
      <c r="AA81" s="213" t="str">
        <f>IFERROR(IF(ISNUMBER(SEARCH("TẶNG",VLOOKUP(E81,'Dự thu chiết khấu'!$L$3:$AV$226,37,0))),"TẶNG",""),"")</f>
        <v/>
      </c>
      <c r="AB81" s="213" t="str">
        <f>IFERROR(IF(ISNUMBER(SEARCH("TẶNG",VLOOKUP(E81,'Dự thu chiết khấu'!$L$3:$AW$226,38,0))),"TẶNG",""),"")</f>
        <v/>
      </c>
      <c r="AC81" s="49">
        <f t="shared" si="12"/>
        <v>14239515.09090909</v>
      </c>
      <c r="AD81" s="11">
        <f>IFERROR(VLOOKUP(E81,'Dự thu chiết khấu'!$L$3:$AM$226,28,0),0)</f>
        <v>0</v>
      </c>
      <c r="AE81" s="11">
        <f>IFERROR(VLOOKUP(E81,'Dự thu chiết khấu'!$L$3:$AN$226,29,0),0)</f>
        <v>0</v>
      </c>
      <c r="AF81" s="11">
        <f>IFERROR(VLOOKUP(E81,'Dự thu chiết khấu'!$L$3:$AO$226,30,0),0)</f>
        <v>15000000</v>
      </c>
    </row>
    <row r="82" spans="1:32">
      <c r="A82">
        <v>76</v>
      </c>
      <c r="B82" t="str">
        <f>IFERROR(INDEX('Dự thu chiết khấu'!$E:$E,MATCH(E82,'Dự thu chiết khấu'!$L:$L,0)),"")</f>
        <v>Nguyễn Bá Thản</v>
      </c>
      <c r="C82" s="51" t="str">
        <f>IFERROR(INDEX('Dự thu chiết khấu'!$F:$F,MATCH(E82,'Dự thu chiết khấu'!$L:$L,0)),"")</f>
        <v>Lê Thị Mỹ Linh</v>
      </c>
      <c r="D82" s="4" t="str">
        <f>IFERROR(INDEX('Dự thu chiết khấu'!$H:$H,MATCH(E82,'Dự thu chiết khấu'!$L:$L,0)),"")</f>
        <v>VF 6</v>
      </c>
      <c r="E82" s="4" t="str">
        <f>'Dự thu chiết khấu'!L79</f>
        <v>RLLVAGND3TH707970</v>
      </c>
      <c r="F82" s="5" t="s">
        <v>138</v>
      </c>
      <c r="G82" s="5" t="str" cm="1">
        <f t="array" ref="G82">IFERROR(INDEX('DT-GV'!$X$6:$X$213,MATCH(1,('DT-GV'!$H$6:$H$213=E82)*('DT-GV'!$R$6:$R$213&lt;&gt;0),0)),IFERROR(VLOOKUP(E82,'DT-GV'!$H$6:$X$213,17,0),""))</f>
        <v>Q9KD</v>
      </c>
      <c r="H82" s="8" t="str">
        <f>VLOOKUP(E82,'Dự thu chiết khấu'!$L$3:$M$226,2,0)</f>
        <v>S11007</v>
      </c>
      <c r="I82">
        <v>1</v>
      </c>
      <c r="J82" s="11">
        <f>VLOOKUP(E82,'Dự thu chiết khấu'!$L$3:$P$226,5,0)</f>
        <v>697000000</v>
      </c>
      <c r="K82" s="12">
        <f t="shared" si="8"/>
        <v>41820000</v>
      </c>
      <c r="L82" s="12">
        <f t="shared" si="9"/>
        <v>0</v>
      </c>
      <c r="M82" s="13">
        <f>IFERROR(VLOOKUP(E82,'Dự thu chiết khấu'!$L$3:$R$226,7,0),0)</f>
        <v>0</v>
      </c>
      <c r="N82" s="14">
        <f>IFERROR(VLOOKUP(E82,'Dự thu chiết khấu'!$L$3:$S$226,8,0),0)</f>
        <v>0</v>
      </c>
      <c r="O82" s="11">
        <f>IF(IFERROR(VLOOKUP(E82,'Dự thu chiết khấu'!$L$3:$T$226,9,0),0)&gt;0,J82*$O$5,0)</f>
        <v>0</v>
      </c>
      <c r="P82" s="13">
        <f>IFERROR(VLOOKUP(E82,'Dự thu chiết khấu'!$L$3:$U$226,10,0),0)</f>
        <v>0.05</v>
      </c>
      <c r="Q82" s="12">
        <f>IFERROR(VLOOKUP(E82,'Dự thu chiết khấu'!$L$3:$V$226,11,0),0)</f>
        <v>0</v>
      </c>
      <c r="R82" s="12">
        <f>VLOOKUP($E82,'Dự thu chiết khấu'!$L$3:$W$226,12,0)</f>
        <v>0</v>
      </c>
      <c r="S82" s="12">
        <f t="shared" si="10"/>
        <v>563936363.63636363</v>
      </c>
      <c r="T82" s="11">
        <f t="shared" si="11"/>
        <v>-0.36363637447357178</v>
      </c>
      <c r="U82" s="15">
        <f>SUMIFS('DT-GV'!$N$6:$N$213,'DT-GV'!$H$6:$H$213,E82,'DT-GV'!$R$6:$R$213,"&lt;&gt;0")</f>
        <v>563936364</v>
      </c>
      <c r="V82" s="48">
        <f>SUMIFS('DT-GV'!$N$6:$N$213,'DT-GV'!$H$6:$H$213,E82,'DT-GV'!$R$6:$R$213,0)</f>
        <v>0</v>
      </c>
      <c r="W82" s="15">
        <f>-SUMIFS('DT-GV'!$R$6:$R$213,'DT-GV'!$H$6:$H$213,E82)</f>
        <v>-608290909</v>
      </c>
      <c r="X82" s="11">
        <f>IFERROR(VLOOKUP($E82,'Dự thu chiết khấu'!$L$3:$AK$226,26,0)/1.1,0)</f>
        <v>51071090.909090906</v>
      </c>
      <c r="Y82" s="11">
        <f>IFERROR(VLOOKUP($E82,'Dự thu chiết khấu'!$L$3:$BE$226,46,0)/1.1,0)</f>
        <v>5639363.6363636358</v>
      </c>
      <c r="Z82" s="11">
        <f>-SUMIF('Lương năng suất'!$R$4:$R$208,E82,'Lương năng suất'!$AQ$4:$AQ$208)</f>
        <v>-8000000</v>
      </c>
      <c r="AA82" s="213" t="str">
        <f>IFERROR(IF(ISNUMBER(SEARCH("TẶNG",VLOOKUP(E82,'Dự thu chiết khấu'!$L$3:$AV$226,37,0))),"TẶNG",""),"")</f>
        <v/>
      </c>
      <c r="AB82" s="213" t="str">
        <f>IFERROR(IF(ISNUMBER(SEARCH("TẶNG",VLOOKUP(E82,'Dự thu chiết khấu'!$L$3:$AW$226,38,0))),"TẶNG",""),"")</f>
        <v/>
      </c>
      <c r="AC82" s="49">
        <f t="shared" si="12"/>
        <v>4355909.5454545431</v>
      </c>
      <c r="AD82" s="11">
        <f>IFERROR(VLOOKUP(E82,'Dự thu chiết khấu'!$L$3:$AM$226,28,0),0)</f>
        <v>0</v>
      </c>
      <c r="AE82" s="11">
        <f>IFERROR(VLOOKUP(E82,'Dự thu chiết khấu'!$L$3:$AN$226,29,0),0)</f>
        <v>0</v>
      </c>
      <c r="AF82" s="11">
        <f>IFERROR(VLOOKUP(E82,'Dự thu chiết khấu'!$L$3:$AO$226,30,0),0)</f>
        <v>0</v>
      </c>
    </row>
    <row r="83" spans="1:32">
      <c r="A83" s="11">
        <v>77</v>
      </c>
      <c r="B83" t="str">
        <f>IFERROR(INDEX('Dự thu chiết khấu'!$E:$E,MATCH(E83,'Dự thu chiết khấu'!$L:$L,0)),"")</f>
        <v>Nguyễn Trần Quốc Duy</v>
      </c>
      <c r="C83" s="51" t="str">
        <f>IFERROR(INDEX('Dự thu chiết khấu'!$F:$F,MATCH(E83,'Dự thu chiết khấu'!$L:$L,0)),"")</f>
        <v>Phạm Huy Quỳnh Giao</v>
      </c>
      <c r="D83" s="4" t="str">
        <f>IFERROR(INDEX('Dự thu chiết khấu'!$H:$H,MATCH(E83,'Dự thu chiết khấu'!$L:$L,0)),"")</f>
        <v>VF 3</v>
      </c>
      <c r="E83" s="4" t="str">
        <f>'Dự thu chiết khấu'!L80</f>
        <v>RLNVBL9K7TT712611</v>
      </c>
      <c r="F83" s="5" t="s">
        <v>138</v>
      </c>
      <c r="G83" s="5" t="str" cm="1">
        <f t="array" ref="G83">IFERROR(INDEX('DT-GV'!$X$6:$X$213,MATCH(1,('DT-GV'!$H$6:$H$213=E83)*('DT-GV'!$R$6:$R$213&lt;&gt;0),0)),IFERROR(VLOOKUP(E83,'DT-GV'!$H$6:$X$213,17,0),""))</f>
        <v>Q9KD</v>
      </c>
      <c r="H83" s="8" t="str">
        <f>VLOOKUP(E83,'Dự thu chiết khấu'!$L$3:$M$226,2,0)</f>
        <v>S11007</v>
      </c>
      <c r="I83">
        <v>1</v>
      </c>
      <c r="J83" s="11">
        <f>VLOOKUP(E83,'Dự thu chiết khấu'!$L$3:$P$226,5,0)</f>
        <v>323000000</v>
      </c>
      <c r="K83" s="12">
        <f t="shared" si="8"/>
        <v>19380000</v>
      </c>
      <c r="L83" s="12">
        <f t="shared" si="9"/>
        <v>0</v>
      </c>
      <c r="M83" s="13">
        <f>IFERROR(VLOOKUP(E83,'Dự thu chiết khấu'!$L$3:$R$226,7,0),0)</f>
        <v>0</v>
      </c>
      <c r="N83" s="14">
        <f>IFERROR(VLOOKUP(E83,'Dự thu chiết khấu'!$L$3:$S$226,8,0),0)</f>
        <v>0</v>
      </c>
      <c r="O83" s="11">
        <f>IF(IFERROR(VLOOKUP(E83,'Dự thu chiết khấu'!$L$3:$T$226,9,0),0)&gt;0,J83*$O$5,0)</f>
        <v>0</v>
      </c>
      <c r="P83" s="13">
        <f>IFERROR(VLOOKUP(E83,'Dự thu chiết khấu'!$L$3:$U$226,10,0),0)</f>
        <v>0</v>
      </c>
      <c r="Q83" s="12">
        <f>IFERROR(VLOOKUP(E83,'Dự thu chiết khấu'!$L$3:$V$226,11,0),0)</f>
        <v>0</v>
      </c>
      <c r="R83" s="12">
        <f>VLOOKUP($E83,'Dự thu chiết khấu'!$L$3:$W$226,12,0)</f>
        <v>0</v>
      </c>
      <c r="S83" s="12">
        <f t="shared" si="10"/>
        <v>276018181.81818181</v>
      </c>
      <c r="T83" s="11">
        <f t="shared" si="11"/>
        <v>-0.18181818723678589</v>
      </c>
      <c r="U83" s="15">
        <f>SUMIFS('DT-GV'!$N$6:$N$213,'DT-GV'!$H$6:$H$213,E83,'DT-GV'!$R$6:$R$213,"&lt;&gt;0")</f>
        <v>276018182</v>
      </c>
      <c r="V83" s="48">
        <f>SUMIFS('DT-GV'!$N$6:$N$213,'DT-GV'!$H$6:$H$213,E83,'DT-GV'!$R$6:$R$213,0)</f>
        <v>0</v>
      </c>
      <c r="W83" s="15">
        <f>-SUMIFS('DT-GV'!$R$6:$R$213,'DT-GV'!$H$6:$H$213,E83)</f>
        <v>-281890909</v>
      </c>
      <c r="X83" s="11">
        <f>IFERROR(VLOOKUP($E83,'Dự thu chiết khấu'!$L$3:$AK$226,26,0)/1.1,0)</f>
        <v>16913454.545454543</v>
      </c>
      <c r="Y83" s="11">
        <f>IFERROR(VLOOKUP($E83,'Dự thu chiết khấu'!$L$3:$BE$226,46,0)/1.1,0)</f>
        <v>2760181.8181818179</v>
      </c>
      <c r="Z83" s="11">
        <f>-SUMIF('Lương năng suất'!$R$4:$R$208,E83,'Lương năng suất'!$AQ$4:$AQ$208)</f>
        <v>-5100000</v>
      </c>
      <c r="AA83" s="213" t="str">
        <f>IFERROR(IF(ISNUMBER(SEARCH("TẶNG",VLOOKUP(E83,'Dự thu chiết khấu'!$L$3:$AV$226,37,0))),"TẶNG",""),"")</f>
        <v/>
      </c>
      <c r="AB83" s="213" t="str">
        <f>IFERROR(IF(ISNUMBER(SEARCH("TẶNG",VLOOKUP(E83,'Dự thu chiết khấu'!$L$3:$AW$226,38,0))),"TẶNG",""),"")</f>
        <v/>
      </c>
      <c r="AC83" s="49">
        <f t="shared" si="12"/>
        <v>8700909.3636363614</v>
      </c>
      <c r="AD83" s="11">
        <f>IFERROR(VLOOKUP(E83,'Dự thu chiết khấu'!$L$3:$AM$226,28,0),0)</f>
        <v>0</v>
      </c>
      <c r="AE83" s="11">
        <f>IFERROR(VLOOKUP(E83,'Dự thu chiết khấu'!$L$3:$AN$226,29,0),0)</f>
        <v>0</v>
      </c>
      <c r="AF83" s="11">
        <f>IFERROR(VLOOKUP(E83,'Dự thu chiết khấu'!$L$3:$AO$226,30,0),0)</f>
        <v>0</v>
      </c>
    </row>
    <row r="84" spans="1:32">
      <c r="A84">
        <v>78</v>
      </c>
      <c r="B84" t="str">
        <f>IFERROR(INDEX('Dự thu chiết khấu'!$E:$E,MATCH(E84,'Dự thu chiết khấu'!$L:$L,0)),"")</f>
        <v>Cao Văn Công</v>
      </c>
      <c r="C84" s="51" t="str">
        <f>IFERROR(INDEX('Dự thu chiết khấu'!$F:$F,MATCH(E84,'Dự thu chiết khấu'!$L:$L,0)),"")</f>
        <v>Nguyễn Thị Minh Phương</v>
      </c>
      <c r="D84" s="4" t="str">
        <f>IFERROR(INDEX('Dự thu chiết khấu'!$H:$H,MATCH(E84,'Dự thu chiết khấu'!$L:$L,0)),"")</f>
        <v>VF 6</v>
      </c>
      <c r="E84" s="4" t="str">
        <f>'Dự thu chiết khấu'!L81</f>
        <v>RLLVAG8C6TH728220</v>
      </c>
      <c r="F84" s="5" t="s">
        <v>138</v>
      </c>
      <c r="G84" s="5" t="str" cm="1">
        <f t="array" ref="G84">IFERROR(INDEX('DT-GV'!$X$6:$X$213,MATCH(1,('DT-GV'!$H$6:$H$213=E84)*('DT-GV'!$R$6:$R$213&lt;&gt;0),0)),IFERROR(VLOOKUP(E84,'DT-GV'!$H$6:$X$213,17,0),""))</f>
        <v>Q9KD</v>
      </c>
      <c r="H84" s="6" t="str">
        <f>VLOOKUP(E84,'Dự thu chiết khấu'!$L$3:$M$226,2,0)</f>
        <v>S11007</v>
      </c>
      <c r="I84">
        <v>1</v>
      </c>
      <c r="J84" s="11">
        <f>VLOOKUP(E84,'Dự thu chiết khấu'!$L$3:$P$226,5,0)</f>
        <v>745000000</v>
      </c>
      <c r="K84" s="12">
        <f t="shared" si="8"/>
        <v>44700000</v>
      </c>
      <c r="L84" s="12">
        <f t="shared" si="9"/>
        <v>0</v>
      </c>
      <c r="M84" s="13">
        <f>IFERROR(VLOOKUP(E84,'Dự thu chiết khấu'!$L$3:$R$226,7,0),0)</f>
        <v>0</v>
      </c>
      <c r="N84" s="14">
        <f>IFERROR(VLOOKUP(E84,'Dự thu chiết khấu'!$L$3:$S$226,8,0),0)</f>
        <v>0</v>
      </c>
      <c r="O84" s="11">
        <f>IF(IFERROR(VLOOKUP(E84,'Dự thu chiết khấu'!$L$3:$T$226,9,0),0)&gt;0,J84*$O$5,0)</f>
        <v>0</v>
      </c>
      <c r="P84" s="13">
        <f>IFERROR(VLOOKUP(E84,'Dự thu chiết khấu'!$L$3:$U$226,10,0),0)</f>
        <v>0</v>
      </c>
      <c r="Q84" s="12">
        <f>IFERROR(VLOOKUP(E84,'Dự thu chiết khấu'!$L$3:$V$226,11,0),0)</f>
        <v>0</v>
      </c>
      <c r="R84" s="12">
        <f>VLOOKUP($E84,'Dự thu chiết khấu'!$L$3:$W$226,12,0)</f>
        <v>0</v>
      </c>
      <c r="S84" s="12">
        <f t="shared" si="10"/>
        <v>636636363.63636363</v>
      </c>
      <c r="T84" s="11">
        <f t="shared" si="11"/>
        <v>-0.36363637447357178</v>
      </c>
      <c r="U84" s="15">
        <f>SUMIFS('DT-GV'!$N$6:$N$213,'DT-GV'!$H$6:$H$213,E84,'DT-GV'!$R$6:$R$213,"&lt;&gt;0")</f>
        <v>636636364</v>
      </c>
      <c r="V84" s="48">
        <f>SUMIFS('DT-GV'!$N$6:$N$213,'DT-GV'!$H$6:$H$213,E84,'DT-GV'!$R$6:$R$213,0)</f>
        <v>0</v>
      </c>
      <c r="W84" s="15">
        <f>-SUMIFS('DT-GV'!$R$6:$R$213,'DT-GV'!$H$6:$H$213,E84)</f>
        <v>-650181818</v>
      </c>
      <c r="X84" s="11">
        <f>IFERROR(VLOOKUP($E84,'Dự thu chiết khấu'!$L$3:$AK$226,26,0)/1.1,0)</f>
        <v>39010909.090909086</v>
      </c>
      <c r="Y84" s="11">
        <f>IFERROR(VLOOKUP($E84,'Dự thu chiết khấu'!$L$3:$BE$226,46,0)/1.1,0)</f>
        <v>6366363.6363636358</v>
      </c>
      <c r="Z84" s="11">
        <f>-SUMIF('Lương năng suất'!$R$4:$R$208,E84,'Lương năng suất'!$AQ$4:$AQ$208)</f>
        <v>-12000000</v>
      </c>
      <c r="AA84" s="213" t="str">
        <f>IFERROR(IF(ISNUMBER(SEARCH("TẶNG",VLOOKUP(E84,'Dự thu chiết khấu'!$L$3:$AV$226,37,0))),"TẶNG",""),"")</f>
        <v/>
      </c>
      <c r="AB84" s="213" t="str">
        <f>IFERROR(IF(ISNUMBER(SEARCH("TẶNG",VLOOKUP(E84,'Dự thu chiết khấu'!$L$3:$AW$226,38,0))),"TẶNG",""),"")</f>
        <v/>
      </c>
      <c r="AC84" s="49">
        <f t="shared" si="12"/>
        <v>19831818.727272723</v>
      </c>
      <c r="AD84" s="11">
        <f>IFERROR(VLOOKUP(E84,'Dự thu chiết khấu'!$L$3:$AM$226,28,0),0)</f>
        <v>0</v>
      </c>
      <c r="AE84" s="11">
        <f>IFERROR(VLOOKUP(E84,'Dự thu chiết khấu'!$L$3:$AN$226,29,0),0)</f>
        <v>0</v>
      </c>
      <c r="AF84" s="11">
        <f>IFERROR(VLOOKUP(E84,'Dự thu chiết khấu'!$L$3:$AO$226,30,0),0)</f>
        <v>0</v>
      </c>
    </row>
    <row r="85" spans="1:32" ht="23">
      <c r="A85" s="11">
        <v>79</v>
      </c>
      <c r="B85" t="str">
        <f>IFERROR(INDEX('Dự thu chiết khấu'!$E:$E,MATCH(E85,'Dự thu chiết khấu'!$L:$L,0)),"")</f>
        <v>Phạm Nguyễn Viết Khánh</v>
      </c>
      <c r="C85" s="51" t="str">
        <f>IFERROR(INDEX('Dự thu chiết khấu'!$F:$F,MATCH(E85,'Dự thu chiết khấu'!$L:$L,0)),"")</f>
        <v>Công ty TNHH Thương Mại Dịch Vụ Link VN</v>
      </c>
      <c r="D85" s="4" t="str">
        <f>IFERROR(INDEX('Dự thu chiết khấu'!$H:$H,MATCH(E85,'Dự thu chiết khấu'!$L:$L,0)),"")</f>
        <v>VF 3</v>
      </c>
      <c r="E85" s="4" t="str">
        <f>'Dự thu chiết khấu'!L82</f>
        <v>RLNVBL9K1ST715437</v>
      </c>
      <c r="F85" s="5" t="s">
        <v>138</v>
      </c>
      <c r="G85" s="5" t="str" cm="1">
        <f t="array" ref="G85">IFERROR(INDEX('DT-GV'!$X$6:$X$213,MATCH(1,('DT-GV'!$H$6:$H$213=E85)*('DT-GV'!$R$6:$R$213&lt;&gt;0),0)),IFERROR(VLOOKUP(E85,'DT-GV'!$H$6:$X$213,17,0),""))</f>
        <v>Q9KD</v>
      </c>
      <c r="H85" s="7" t="str">
        <f>VLOOKUP(E85,'Dự thu chiết khấu'!$L$3:$M$226,2,0)</f>
        <v>S11006</v>
      </c>
      <c r="I85">
        <v>1</v>
      </c>
      <c r="J85" s="11">
        <f>VLOOKUP(E85,'Dự thu chiết khấu'!$L$3:$P$226,5,0)</f>
        <v>310000000</v>
      </c>
      <c r="K85" s="12">
        <f t="shared" si="8"/>
        <v>18600000</v>
      </c>
      <c r="L85" s="12">
        <f t="shared" si="9"/>
        <v>0</v>
      </c>
      <c r="M85" s="13">
        <f>IFERROR(VLOOKUP(E85,'Dự thu chiết khấu'!$L$3:$R$226,7,0),0)</f>
        <v>0</v>
      </c>
      <c r="N85" s="14">
        <f>IFERROR(VLOOKUP(E85,'Dự thu chiết khấu'!$L$3:$S$226,8,0),0)</f>
        <v>0</v>
      </c>
      <c r="O85" s="11">
        <f>IF(IFERROR(VLOOKUP(E85,'Dự thu chiết khấu'!$L$3:$T$226,9,0),0)&gt;0,J85*$O$5,0)</f>
        <v>0</v>
      </c>
      <c r="P85" s="13">
        <f>IFERROR(VLOOKUP(E85,'Dự thu chiết khấu'!$L$3:$U$226,10,0),0)</f>
        <v>0</v>
      </c>
      <c r="Q85" s="12">
        <f>IFERROR(VLOOKUP(E85,'Dự thu chiết khấu'!$L$3:$V$226,11,0),0)</f>
        <v>18000000</v>
      </c>
      <c r="R85" s="12">
        <f>VLOOKUP($E85,'Dự thu chiết khấu'!$L$3:$W$226,12,0)</f>
        <v>0</v>
      </c>
      <c r="S85" s="12">
        <f t="shared" si="10"/>
        <v>248545454.54545453</v>
      </c>
      <c r="T85" s="11">
        <f t="shared" si="11"/>
        <v>-0.45454546809196472</v>
      </c>
      <c r="U85" s="15">
        <f>SUMIFS('DT-GV'!$N$6:$N$213,'DT-GV'!$H$6:$H$213,E85,'DT-GV'!$R$6:$R$213,"&lt;&gt;0")</f>
        <v>248545455</v>
      </c>
      <c r="V85" s="48">
        <f>SUMIFS('DT-GV'!$N$6:$N$213,'DT-GV'!$H$6:$H$213,E85,'DT-GV'!$R$6:$R$213,0)</f>
        <v>0</v>
      </c>
      <c r="W85" s="15">
        <f>-SUMIFS('DT-GV'!$R$6:$R$213,'DT-GV'!$H$6:$H$213,E85)</f>
        <v>-270545455</v>
      </c>
      <c r="X85" s="11">
        <f>IFERROR(VLOOKUP($E85,'Dự thu chiết khấu'!$L$3:$AK$226,26,0)/1.1,0)</f>
        <v>31941818.18181818</v>
      </c>
      <c r="Y85" s="11">
        <f>IFERROR(VLOOKUP($E85,'Dự thu chiết khấu'!$L$3:$BE$226,46,0)/1.1,0)</f>
        <v>2485454.5454545454</v>
      </c>
      <c r="Z85" s="11">
        <f>-SUMIF('Lương năng suất'!$R$4:$R$208,E85,'Lương năng suất'!$AQ$4:$AQ$208)</f>
        <v>-6340789.752973468</v>
      </c>
      <c r="AA85" s="213" t="str">
        <f>IFERROR(IF(ISNUMBER(SEARCH("TẶNG",VLOOKUP(E85,'Dự thu chiết khấu'!$L$3:$AV$226,37,0))),"TẶNG",""),"")</f>
        <v/>
      </c>
      <c r="AB85" s="213" t="str">
        <f>IFERROR(IF(ISNUMBER(SEARCH("TẶNG",VLOOKUP(E85,'Dự thu chiết khấu'!$L$3:$AW$226,38,0))),"TẶNG",""),"")</f>
        <v/>
      </c>
      <c r="AC85" s="49">
        <f t="shared" si="12"/>
        <v>6086482.9742992567</v>
      </c>
      <c r="AD85" s="11">
        <f>IFERROR(VLOOKUP(E85,'Dự thu chiết khấu'!$L$3:$AM$226,28,0),0)</f>
        <v>0</v>
      </c>
      <c r="AE85" s="11">
        <f>IFERROR(VLOOKUP(E85,'Dự thu chiết khấu'!$L$3:$AN$226,29,0),0)</f>
        <v>0</v>
      </c>
      <c r="AF85" s="11">
        <f>IFERROR(VLOOKUP(E85,'Dự thu chiết khấu'!$L$3:$AO$226,30,0),0)</f>
        <v>0</v>
      </c>
    </row>
    <row r="86" spans="1:32" ht="23">
      <c r="A86">
        <v>80</v>
      </c>
      <c r="B86" t="str">
        <f>IFERROR(INDEX('Dự thu chiết khấu'!$E:$E,MATCH(E86,'Dự thu chiết khấu'!$L:$L,0)),"")</f>
        <v>Phạm Nguyễn Viết Khánh</v>
      </c>
      <c r="C86" s="51" t="str">
        <f>IFERROR(INDEX('Dự thu chiết khấu'!$F:$F,MATCH(E86,'Dự thu chiết khấu'!$L:$L,0)),"")</f>
        <v>Công ty TNHH Thương Mại Dịch Vụ Link VN</v>
      </c>
      <c r="D86" s="4" t="str">
        <f>IFERROR(INDEX('Dự thu chiết khấu'!$H:$H,MATCH(E86,'Dự thu chiết khấu'!$L:$L,0)),"")</f>
        <v>VF 3</v>
      </c>
      <c r="E86" s="4" t="str">
        <f>'Dự thu chiết khấu'!L83</f>
        <v>RLNVBL9KXST716134</v>
      </c>
      <c r="F86" s="5" t="s">
        <v>138</v>
      </c>
      <c r="G86" s="5" t="str" cm="1">
        <f t="array" ref="G86">IFERROR(INDEX('DT-GV'!$X$6:$X$213,MATCH(1,('DT-GV'!$H$6:$H$213=E86)*('DT-GV'!$R$6:$R$213&lt;&gt;0),0)),IFERROR(VLOOKUP(E86,'DT-GV'!$H$6:$X$213,17,0),""))</f>
        <v>Q9KD</v>
      </c>
      <c r="H86" s="6" t="str">
        <f>VLOOKUP(E86,'Dự thu chiết khấu'!$L$3:$M$226,2,0)</f>
        <v>S11007</v>
      </c>
      <c r="I86">
        <v>1</v>
      </c>
      <c r="J86" s="11">
        <f>VLOOKUP(E86,'Dự thu chiết khấu'!$L$3:$P$226,5,0)</f>
        <v>310000000</v>
      </c>
      <c r="K86" s="12">
        <f t="shared" si="8"/>
        <v>18600000</v>
      </c>
      <c r="L86" s="12">
        <f t="shared" si="9"/>
        <v>0</v>
      </c>
      <c r="M86" s="13">
        <f>IFERROR(VLOOKUP(E86,'Dự thu chiết khấu'!$L$3:$R$226,7,0),0)</f>
        <v>0</v>
      </c>
      <c r="N86" s="14">
        <f>IFERROR(VLOOKUP(E86,'Dự thu chiết khấu'!$L$3:$S$226,8,0),0)</f>
        <v>0</v>
      </c>
      <c r="O86" s="11">
        <f>IF(IFERROR(VLOOKUP(E86,'Dự thu chiết khấu'!$L$3:$T$226,9,0),0)&gt;0,J86*$O$5,0)</f>
        <v>0</v>
      </c>
      <c r="P86" s="13">
        <f>IFERROR(VLOOKUP(E86,'Dự thu chiết khấu'!$L$3:$U$226,10,0),0)</f>
        <v>0</v>
      </c>
      <c r="Q86" s="12">
        <f>IFERROR(VLOOKUP(E86,'Dự thu chiết khấu'!$L$3:$V$226,11,0),0)</f>
        <v>18000000</v>
      </c>
      <c r="R86" s="12">
        <f>VLOOKUP($E86,'Dự thu chiết khấu'!$L$3:$W$226,12,0)</f>
        <v>0</v>
      </c>
      <c r="S86" s="12">
        <f t="shared" si="10"/>
        <v>248545454.54545453</v>
      </c>
      <c r="T86" s="11">
        <f t="shared" si="11"/>
        <v>-0.45454546809196472</v>
      </c>
      <c r="U86" s="15">
        <f>SUMIFS('DT-GV'!$N$6:$N$213,'DT-GV'!$H$6:$H$213,E86,'DT-GV'!$R$6:$R$213,"&lt;&gt;0")</f>
        <v>248545455</v>
      </c>
      <c r="V86" s="48">
        <f>SUMIFS('DT-GV'!$N$6:$N$213,'DT-GV'!$H$6:$H$213,E86,'DT-GV'!$R$6:$R$213,0)</f>
        <v>0</v>
      </c>
      <c r="W86" s="15">
        <f>-SUMIFS('DT-GV'!$R$6:$R$213,'DT-GV'!$H$6:$H$213,E86)</f>
        <v>-270545455</v>
      </c>
      <c r="X86" s="11">
        <f>IFERROR(VLOOKUP($E86,'Dự thu chiết khấu'!$L$3:$AK$226,26,0)/1.1,0)</f>
        <v>31941818.18181818</v>
      </c>
      <c r="Y86" s="11">
        <f>IFERROR(VLOOKUP($E86,'Dự thu chiết khấu'!$L$3:$BE$226,46,0)/1.1,0)</f>
        <v>2485454.5454545454</v>
      </c>
      <c r="Z86" s="11">
        <f>-SUMIF('Lương năng suất'!$R$4:$R$208,E86,'Lương năng suất'!$AQ$4:$AQ$208)</f>
        <v>-7940789.752973468</v>
      </c>
      <c r="AA86" s="213" t="str">
        <f>IFERROR(IF(ISNUMBER(SEARCH("TẶNG",VLOOKUP(E86,'Dự thu chiết khấu'!$L$3:$AV$226,37,0))),"TẶNG",""),"")</f>
        <v/>
      </c>
      <c r="AB86" s="213" t="str">
        <f>IFERROR(IF(ISNUMBER(SEARCH("TẶNG",VLOOKUP(E86,'Dự thu chiết khấu'!$L$3:$AW$226,38,0))),"TẶNG",""),"")</f>
        <v/>
      </c>
      <c r="AC86" s="49">
        <f t="shared" si="12"/>
        <v>4486482.9742992567</v>
      </c>
      <c r="AD86" s="11">
        <f>IFERROR(VLOOKUP(E86,'Dự thu chiết khấu'!$L$3:$AM$226,28,0),0)</f>
        <v>0</v>
      </c>
      <c r="AE86" s="11">
        <f>IFERROR(VLOOKUP(E86,'Dự thu chiết khấu'!$L$3:$AN$226,29,0),0)</f>
        <v>0</v>
      </c>
      <c r="AF86" s="11">
        <f>IFERROR(VLOOKUP(E86,'Dự thu chiết khấu'!$L$3:$AO$226,30,0),0)</f>
        <v>0</v>
      </c>
    </row>
    <row r="87" spans="1:32" ht="23">
      <c r="A87" s="11">
        <v>81</v>
      </c>
      <c r="B87" t="str">
        <f>IFERROR(INDEX('Dự thu chiết khấu'!$E:$E,MATCH(E87,'Dự thu chiết khấu'!$L:$L,0)),"")</f>
        <v>Phạm Hoàng Long</v>
      </c>
      <c r="C87" s="51" t="str">
        <f>IFERROR(INDEX('Dự thu chiết khấu'!$F:$F,MATCH(E87,'Dự thu chiết khấu'!$L:$L,0)),"")</f>
        <v>Công ty TNHH TMDV Vận tải Kim Phát</v>
      </c>
      <c r="D87" s="4" t="str">
        <f>IFERROR(INDEX('Dự thu chiết khấu'!$H:$H,MATCH(E87,'Dự thu chiết khấu'!$L:$L,0)),"")</f>
        <v>VF 6</v>
      </c>
      <c r="E87" s="4" t="str">
        <f>'Dự thu chiết khấu'!L84</f>
        <v>RLLVAG8C9TH741687</v>
      </c>
      <c r="F87" s="5" t="s">
        <v>138</v>
      </c>
      <c r="G87" s="5" t="str" cm="1">
        <f t="array" ref="G87">IFERROR(INDEX('DT-GV'!$X$6:$X$213,MATCH(1,('DT-GV'!$H$6:$H$213=E87)*('DT-GV'!$R$6:$R$213&lt;&gt;0),0)),IFERROR(VLOOKUP(E87,'DT-GV'!$H$6:$X$213,17,0),""))</f>
        <v>Q9KD</v>
      </c>
      <c r="H87" s="6" t="str">
        <f>VLOOKUP(E87,'Dự thu chiết khấu'!$L$3:$M$226,2,0)</f>
        <v>S11007</v>
      </c>
      <c r="I87">
        <v>1</v>
      </c>
      <c r="J87" s="11">
        <f>VLOOKUP(E87,'Dự thu chiết khấu'!$L$3:$P$226,5,0)</f>
        <v>745000000</v>
      </c>
      <c r="K87" s="12">
        <f t="shared" si="8"/>
        <v>44700000</v>
      </c>
      <c r="L87" s="12">
        <f t="shared" si="9"/>
        <v>0</v>
      </c>
      <c r="M87" s="13">
        <f>IFERROR(VLOOKUP(E87,'Dự thu chiết khấu'!$L$3:$R$226,7,0),0)</f>
        <v>0</v>
      </c>
      <c r="N87" s="14">
        <f>IFERROR(VLOOKUP(E87,'Dự thu chiết khấu'!$L$3:$S$226,8,0),0)</f>
        <v>0</v>
      </c>
      <c r="O87" s="11">
        <f>IF(IFERROR(VLOOKUP(E87,'Dự thu chiết khấu'!$L$3:$T$226,9,0),0)&gt;0,J87*$O$5,0)</f>
        <v>0</v>
      </c>
      <c r="P87" s="13">
        <f>IFERROR(VLOOKUP(E87,'Dự thu chiết khấu'!$L$3:$U$226,10,0),0)</f>
        <v>0</v>
      </c>
      <c r="Q87" s="12">
        <f>IFERROR(VLOOKUP(E87,'Dự thu chiết khấu'!$L$3:$V$226,11,0),0)</f>
        <v>0</v>
      </c>
      <c r="R87" s="12">
        <f>VLOOKUP($E87,'Dự thu chiết khấu'!$L$3:$W$226,12,0)</f>
        <v>10000000</v>
      </c>
      <c r="S87" s="12">
        <f t="shared" si="10"/>
        <v>627545454.5454545</v>
      </c>
      <c r="T87" s="11">
        <f t="shared" si="11"/>
        <v>-0.45454549789428711</v>
      </c>
      <c r="U87" s="15">
        <f>SUMIFS('DT-GV'!$N$6:$N$213,'DT-GV'!$H$6:$H$213,E87,'DT-GV'!$R$6:$R$213,"&lt;&gt;0")</f>
        <v>627545455</v>
      </c>
      <c r="V87" s="48">
        <f>SUMIFS('DT-GV'!$N$6:$N$213,'DT-GV'!$H$6:$H$213,E87,'DT-GV'!$R$6:$R$213,0)</f>
        <v>0</v>
      </c>
      <c r="W87" s="15">
        <f>-SUMIFS('DT-GV'!$R$6:$R$213,'DT-GV'!$H$6:$H$213,E87)</f>
        <v>-650181818</v>
      </c>
      <c r="X87" s="11">
        <f>IFERROR(VLOOKUP($E87,'Dự thu chiết khấu'!$L$3:$AK$226,26,0)/1.1,0)</f>
        <v>39010909.090909086</v>
      </c>
      <c r="Y87" s="11">
        <f>IFERROR(VLOOKUP($E87,'Dự thu chiết khấu'!$L$3:$BE$226,46,0)/1.1,0)</f>
        <v>6366363.6363636358</v>
      </c>
      <c r="Z87" s="11">
        <f>-SUMIF('Lương năng suất'!$R$4:$R$208,E87,'Lương năng suất'!$AQ$4:$AQ$208)</f>
        <v>-6000000</v>
      </c>
      <c r="AA87" s="213" t="str">
        <f>IFERROR(IF(ISNUMBER(SEARCH("TẶNG",VLOOKUP(E87,'Dự thu chiết khấu'!$L$3:$AV$226,37,0))),"TẶNG",""),"")</f>
        <v/>
      </c>
      <c r="AB87" s="213" t="str">
        <f>IFERROR(IF(ISNUMBER(SEARCH("TẶNG",VLOOKUP(E87,'Dự thu chiết khấu'!$L$3:$AW$226,38,0))),"TẶNG",""),"")</f>
        <v/>
      </c>
      <c r="AC87" s="49">
        <f t="shared" si="12"/>
        <v>16740909.727272723</v>
      </c>
      <c r="AD87" s="11">
        <f>IFERROR(VLOOKUP(E87,'Dự thu chiết khấu'!$L$3:$AM$226,28,0),0)</f>
        <v>0</v>
      </c>
      <c r="AE87" s="11">
        <f>IFERROR(VLOOKUP(E87,'Dự thu chiết khấu'!$L$3:$AN$226,29,0),0)</f>
        <v>0</v>
      </c>
      <c r="AF87" s="11">
        <f>IFERROR(VLOOKUP(E87,'Dự thu chiết khấu'!$L$3:$AO$226,30,0),0)</f>
        <v>0</v>
      </c>
    </row>
    <row r="88" spans="1:32">
      <c r="A88">
        <v>82</v>
      </c>
      <c r="B88" t="str">
        <f>IFERROR(INDEX('Dự thu chiết khấu'!$E:$E,MATCH(E88,'Dự thu chiết khấu'!$L:$L,0)),"")</f>
        <v>Nguyễn Trần Quốc Duy</v>
      </c>
      <c r="C88" s="51" t="str">
        <f>IFERROR(INDEX('Dự thu chiết khấu'!$F:$F,MATCH(E88,'Dự thu chiết khấu'!$L:$L,0)),"")</f>
        <v>Nguyễn Minh Nghĩa</v>
      </c>
      <c r="D88" s="4" t="str">
        <f>IFERROR(INDEX('Dự thu chiết khấu'!$H:$H,MATCH(E88,'Dự thu chiết khấu'!$L:$L,0)),"")</f>
        <v>VF 5</v>
      </c>
      <c r="E88" s="4" t="str">
        <f>'Dự thu chiết khấu'!L85</f>
        <v>RLNV5JSE3TH739565</v>
      </c>
      <c r="F88" s="5" t="s">
        <v>138</v>
      </c>
      <c r="G88" s="5" t="str" cm="1">
        <f t="array" ref="G88">IFERROR(INDEX('DT-GV'!$X$6:$X$213,MATCH(1,('DT-GV'!$H$6:$H$213=E88)*('DT-GV'!$R$6:$R$213&lt;&gt;0),0)),IFERROR(VLOOKUP(E88,'DT-GV'!$H$6:$X$213,17,0),""))</f>
        <v>Q9KD</v>
      </c>
      <c r="H88" s="6" t="str">
        <f>VLOOKUP(E88,'Dự thu chiết khấu'!$L$3:$M$226,2,0)</f>
        <v>S11007</v>
      </c>
      <c r="I88">
        <v>1</v>
      </c>
      <c r="J88" s="11">
        <f>VLOOKUP(E88,'Dự thu chiết khấu'!$L$3:$P$226,5,0)</f>
        <v>529000000</v>
      </c>
      <c r="K88" s="12">
        <f t="shared" si="8"/>
        <v>31740000</v>
      </c>
      <c r="L88" s="12">
        <f t="shared" si="9"/>
        <v>0</v>
      </c>
      <c r="M88" s="13">
        <f>IFERROR(VLOOKUP(E88,'Dự thu chiết khấu'!$L$3:$R$226,7,0),0)</f>
        <v>0</v>
      </c>
      <c r="N88" s="14">
        <f>IFERROR(VLOOKUP(E88,'Dự thu chiết khấu'!$L$3:$S$226,8,0),0)</f>
        <v>0</v>
      </c>
      <c r="O88" s="11">
        <f>IF(IFERROR(VLOOKUP(E88,'Dự thu chiết khấu'!$L$3:$T$226,9,0),0)&gt;0,J88*$O$5,0)</f>
        <v>0</v>
      </c>
      <c r="P88" s="13">
        <f>IFERROR(VLOOKUP(E88,'Dự thu chiết khấu'!$L$3:$U$226,10,0),0)</f>
        <v>0</v>
      </c>
      <c r="Q88" s="12">
        <f>IFERROR(VLOOKUP(E88,'Dự thu chiết khấu'!$L$3:$V$226,11,0),0)</f>
        <v>0</v>
      </c>
      <c r="R88" s="12">
        <f>VLOOKUP($E88,'Dự thu chiết khấu'!$L$3:$W$226,12,0)</f>
        <v>0</v>
      </c>
      <c r="S88" s="12">
        <f t="shared" si="10"/>
        <v>452054545.45454544</v>
      </c>
      <c r="T88" s="11">
        <f t="shared" si="11"/>
        <v>0.45454543828964233</v>
      </c>
      <c r="U88" s="15">
        <f>SUMIFS('DT-GV'!$N$6:$N$213,'DT-GV'!$H$6:$H$213,E88,'DT-GV'!$R$6:$R$213,"&lt;&gt;0")</f>
        <v>452054545</v>
      </c>
      <c r="V88" s="48">
        <f>SUMIFS('DT-GV'!$N$6:$N$213,'DT-GV'!$H$6:$H$213,E88,'DT-GV'!$R$6:$R$213,0)</f>
        <v>0</v>
      </c>
      <c r="W88" s="15">
        <f>-SUMIFS('DT-GV'!$R$6:$R$213,'DT-GV'!$H$6:$H$213,E88)</f>
        <v>-461672727</v>
      </c>
      <c r="X88" s="11">
        <f>IFERROR(VLOOKUP($E88,'Dự thu chiết khấu'!$L$3:$AK$226,26,0)/1.1,0)</f>
        <v>27700363.636363633</v>
      </c>
      <c r="Y88" s="11">
        <f>IFERROR(VLOOKUP($E88,'Dự thu chiết khấu'!$L$3:$BE$226,46,0)/1.1,0)</f>
        <v>4520545.4545454541</v>
      </c>
      <c r="Z88" s="11">
        <f>-SUMIF('Lương năng suất'!$R$4:$R$208,E88,'Lương năng suất'!$AQ$4:$AQ$208)</f>
        <v>-12800000</v>
      </c>
      <c r="AA88" s="213" t="str">
        <f>IFERROR(IF(ISNUMBER(SEARCH("TẶNG",VLOOKUP(E88,'Dự thu chiết khấu'!$L$3:$AV$226,37,0))),"TẶNG",""),"")</f>
        <v/>
      </c>
      <c r="AB88" s="213" t="str">
        <f>IFERROR(IF(ISNUMBER(SEARCH("TẶNG",VLOOKUP(E88,'Dự thu chiết khấu'!$L$3:$AW$226,38,0))),"TẶNG",""),"")</f>
        <v/>
      </c>
      <c r="AC88" s="49">
        <f t="shared" si="12"/>
        <v>9802727.0909090862</v>
      </c>
      <c r="AD88" s="11">
        <f>IFERROR(VLOOKUP(E88,'Dự thu chiết khấu'!$L$3:$AM$226,28,0),0)</f>
        <v>0</v>
      </c>
      <c r="AE88" s="11">
        <f>IFERROR(VLOOKUP(E88,'Dự thu chiết khấu'!$L$3:$AN$226,29,0),0)</f>
        <v>0</v>
      </c>
      <c r="AF88" s="11">
        <f>IFERROR(VLOOKUP(E88,'Dự thu chiết khấu'!$L$3:$AO$226,30,0),0)</f>
        <v>0</v>
      </c>
    </row>
    <row r="89" spans="1:32" ht="23">
      <c r="A89" s="11">
        <v>83</v>
      </c>
      <c r="B89" t="str">
        <f>IFERROR(INDEX('Dự thu chiết khấu'!$E:$E,MATCH(E89,'Dự thu chiết khấu'!$L:$L,0)),"")</f>
        <v>ĐOÀN VĂN CƯƠNG</v>
      </c>
      <c r="C89" s="51" t="str">
        <f>IFERROR(INDEX('Dự thu chiết khấu'!$F:$F,MATCH(E89,'Dự thu chiết khấu'!$L:$L,0)),"")</f>
        <v>CÔNG TY TNHH TIN HỌC MÁY CHỦ SIÊU RẺ</v>
      </c>
      <c r="D89" s="4" t="str">
        <f>IFERROR(INDEX('Dự thu chiết khấu'!$H:$H,MATCH(E89,'Dự thu chiết khấu'!$L:$L,0)),"")</f>
        <v>VF 9</v>
      </c>
      <c r="E89" s="4" t="str">
        <f>'Dự thu chiết khấu'!L86</f>
        <v>RLLV2CFA5TH703199</v>
      </c>
      <c r="F89" s="5" t="s">
        <v>104</v>
      </c>
      <c r="G89" s="5" t="str" cm="1">
        <f t="array" ref="G89">IFERROR(INDEX('DT-GV'!$X$6:$X$213,MATCH(1,('DT-GV'!$H$6:$H$213=E89)*('DT-GV'!$R$6:$R$213&lt;&gt;0),0)),IFERROR(VLOOKUP(E89,'DT-GV'!$H$6:$X$213,17,0),""))</f>
        <v>SLKD</v>
      </c>
      <c r="H89" s="8" t="str">
        <f>VLOOKUP(E89,'Dự thu chiết khấu'!$L$3:$M$226,2,0)</f>
        <v>S11006</v>
      </c>
      <c r="I89">
        <v>1</v>
      </c>
      <c r="J89" s="11">
        <f>VLOOKUP(E89,'Dự thu chiết khấu'!$L$3:$P$226,5,0)</f>
        <v>1699000000</v>
      </c>
      <c r="K89" s="12">
        <f t="shared" si="8"/>
        <v>0</v>
      </c>
      <c r="L89" s="12">
        <f t="shared" si="9"/>
        <v>169900000</v>
      </c>
      <c r="M89" s="13">
        <f>IFERROR(VLOOKUP(E89,'Dự thu chiết khấu'!$L$3:$R$226,7,0),0)</f>
        <v>0</v>
      </c>
      <c r="N89" s="14">
        <f>IFERROR(VLOOKUP(E89,'Dự thu chiết khấu'!$L$3:$S$226,8,0),0)</f>
        <v>0</v>
      </c>
      <c r="O89" s="11">
        <f>IF(IFERROR(VLOOKUP(E89,'Dự thu chiết khấu'!$L$3:$T$226,9,0),0)&gt;0,J89*$O$5,0)</f>
        <v>50970000</v>
      </c>
      <c r="P89" s="13">
        <f>IFERROR(VLOOKUP(E89,'Dự thu chiết khấu'!$L$3:$U$226,10,0),0)</f>
        <v>0</v>
      </c>
      <c r="Q89" s="12">
        <f>IFERROR(VLOOKUP(E89,'Dự thu chiết khấu'!$L$3:$V$226,11,0),0)</f>
        <v>0</v>
      </c>
      <c r="R89" s="12">
        <f>VLOOKUP($E89,'Dự thu chiết khấu'!$L$3:$W$226,12,0)</f>
        <v>0</v>
      </c>
      <c r="S89" s="12">
        <f t="shared" si="10"/>
        <v>1343754545.4545453</v>
      </c>
      <c r="T89" s="11">
        <f t="shared" si="11"/>
        <v>0.45454525947570801</v>
      </c>
      <c r="U89" s="15">
        <f>SUMIFS('DT-GV'!$N$6:$N$213,'DT-GV'!$H$6:$H$213,E89,'DT-GV'!$R$6:$R$213,"&lt;&gt;0")</f>
        <v>1343754545</v>
      </c>
      <c r="V89" s="48">
        <f>SUMIFS('DT-GV'!$N$6:$N$213,'DT-GV'!$H$6:$H$213,E89,'DT-GV'!$R$6:$R$213,0)</f>
        <v>0</v>
      </c>
      <c r="W89" s="15">
        <f>-SUMIFS('DT-GV'!$R$6:$R$213,'DT-GV'!$H$6:$H$213,E89)</f>
        <v>-1451872727</v>
      </c>
      <c r="X89" s="11">
        <f>IFERROR(VLOOKUP($E89,'Dự thu chiết khấu'!$L$3:$AK$226,26,0)/1.1,0)</f>
        <v>188743454.54545453</v>
      </c>
      <c r="Y89" s="11">
        <f>IFERROR(VLOOKUP($E89,'Dự thu chiết khấu'!$L$3:$BE$226,46,0)/1.1,0)</f>
        <v>26875090.909090906</v>
      </c>
      <c r="Z89" s="11">
        <f>-SUMIF('Lương năng suất'!$R$4:$R$208,E89,'Lương năng suất'!$AQ$4:$AQ$208)</f>
        <v>-72000000</v>
      </c>
      <c r="AA89" s="213" t="str">
        <f>IFERROR(IF(ISNUMBER(SEARCH("TẶNG",VLOOKUP(E89,'Dự thu chiết khấu'!$L$3:$AV$226,37,0))),"TẶNG",""),"")</f>
        <v/>
      </c>
      <c r="AB89" s="213" t="str">
        <f>IFERROR(IF(ISNUMBER(SEARCH("TẶNG",VLOOKUP(E89,'Dự thu chiết khấu'!$L$3:$AW$226,38,0))),"TẶNG",""),"")</f>
        <v/>
      </c>
      <c r="AC89" s="49">
        <f t="shared" si="12"/>
        <v>35500363.454545438</v>
      </c>
      <c r="AD89" s="11">
        <f>IFERROR(VLOOKUP(E89,'Dự thu chiết khấu'!$L$3:$AM$226,28,0),0)</f>
        <v>0</v>
      </c>
      <c r="AE89" s="11">
        <f>IFERROR(VLOOKUP(E89,'Dự thu chiết khấu'!$L$3:$AN$226,29,0),0)</f>
        <v>0</v>
      </c>
      <c r="AF89" s="11">
        <f>IFERROR(VLOOKUP(E89,'Dự thu chiết khấu'!$L$3:$AO$226,30,0),0)</f>
        <v>0</v>
      </c>
    </row>
    <row r="90" spans="1:32">
      <c r="A90">
        <v>84</v>
      </c>
      <c r="B90" t="str">
        <f>IFERROR(INDEX('Dự thu chiết khấu'!$E:$E,MATCH(E90,'Dự thu chiết khấu'!$L:$L,0)),"")</f>
        <v xml:space="preserve">PHAN THỊ DIỄM NGA </v>
      </c>
      <c r="C90" s="51" t="str">
        <f>IFERROR(INDEX('Dự thu chiết khấu'!$F:$F,MATCH(E90,'Dự thu chiết khấu'!$L:$L,0)),"")</f>
        <v>TRẦN THỊ THANH PHÚC</v>
      </c>
      <c r="D90" s="4" t="str">
        <f>IFERROR(INDEX('Dự thu chiết khấu'!$H:$H,MATCH(E90,'Dự thu chiết khấu'!$L:$L,0)),"")</f>
        <v>LIMO GREEN</v>
      </c>
      <c r="E90" s="4" t="str">
        <f>'Dự thu chiết khấu'!L87</f>
        <v>RLLVFPNT1TH747327</v>
      </c>
      <c r="F90" s="5" t="s">
        <v>104</v>
      </c>
      <c r="G90" s="5" t="str" cm="1">
        <f t="array" ref="G90">IFERROR(INDEX('DT-GV'!$X$6:$X$213,MATCH(1,('DT-GV'!$H$6:$H$213=E90)*('DT-GV'!$R$6:$R$213&lt;&gt;0),0)),IFERROR(VLOOKUP(E90,'DT-GV'!$H$6:$X$213,17,0),""))</f>
        <v>SLKD</v>
      </c>
      <c r="H90" s="6" t="str">
        <f>VLOOKUP(E90,'Dự thu chiết khấu'!$L$3:$M$226,2,0)</f>
        <v>S11007</v>
      </c>
      <c r="I90">
        <v>1</v>
      </c>
      <c r="J90" s="11">
        <f>VLOOKUP(E90,'Dự thu chiết khấu'!$L$3:$P$226,5,0)</f>
        <v>749000000</v>
      </c>
      <c r="K90" s="12">
        <f t="shared" si="8"/>
        <v>0</v>
      </c>
      <c r="L90" s="12">
        <f t="shared" si="9"/>
        <v>0</v>
      </c>
      <c r="M90" s="13">
        <f>IFERROR(VLOOKUP(E90,'Dự thu chiết khấu'!$L$3:$R$226,7,0),0)</f>
        <v>7.0000000000000007E-2</v>
      </c>
      <c r="N90" s="14">
        <f>IFERROR(VLOOKUP(E90,'Dự thu chiết khấu'!$L$3:$S$226,8,0),0)</f>
        <v>0</v>
      </c>
      <c r="O90" s="11">
        <f>IF(IFERROR(VLOOKUP(E90,'Dự thu chiết khấu'!$L$3:$T$226,9,0),0)&gt;0,J90*$O$5,0)</f>
        <v>0</v>
      </c>
      <c r="P90" s="13">
        <f>IFERROR(VLOOKUP(E90,'Dự thu chiết khấu'!$L$3:$U$226,10,0),0)</f>
        <v>0</v>
      </c>
      <c r="Q90" s="12">
        <f>IFERROR(VLOOKUP(E90,'Dự thu chiết khấu'!$L$3:$V$226,11,0),0)</f>
        <v>0</v>
      </c>
      <c r="R90" s="12">
        <f>VLOOKUP($E90,'Dự thu chiết khấu'!$L$3:$W$226,12,0)</f>
        <v>0</v>
      </c>
      <c r="S90" s="12">
        <f t="shared" si="10"/>
        <v>680909090.90909088</v>
      </c>
      <c r="T90" s="11">
        <f t="shared" si="11"/>
        <v>-9.0909123420715332E-2</v>
      </c>
      <c r="U90" s="15">
        <f>SUMIFS('DT-GV'!$N$6:$N$213,'DT-GV'!$H$6:$H$213,E90,'DT-GV'!$R$6:$R$213,"&lt;&gt;0")</f>
        <v>680909091</v>
      </c>
      <c r="V90" s="48">
        <f>SUMIFS('DT-GV'!$N$6:$N$213,'DT-GV'!$H$6:$H$213,E90,'DT-GV'!$R$6:$R$213,0)</f>
        <v>0</v>
      </c>
      <c r="W90" s="15">
        <f>-SUMIFS('DT-GV'!$R$6:$R$213,'DT-GV'!$H$6:$H$213,E90)</f>
        <v>-653672727</v>
      </c>
      <c r="X90" s="11">
        <f>IFERROR(VLOOKUP($E90,'Dự thu chiết khấu'!$L$3:$AK$226,26,0)/1.1,0)</f>
        <v>0</v>
      </c>
      <c r="Y90" s="11">
        <f>IFERROR(VLOOKUP($E90,'Dự thu chiết khấu'!$L$3:$BE$226,46,0)/1.1,0)</f>
        <v>6809090.9090909082</v>
      </c>
      <c r="Z90" s="11">
        <f>-SUMIF('Lương năng suất'!$R$4:$R$208,E90,'Lương năng suất'!$AQ$4:$AQ$208)</f>
        <v>-19000000</v>
      </c>
      <c r="AA90" s="213" t="str">
        <f>IFERROR(IF(ISNUMBER(SEARCH("TẶNG",VLOOKUP(E90,'Dự thu chiết khấu'!$L$3:$AV$226,37,0))),"TẶNG",""),"")</f>
        <v/>
      </c>
      <c r="AB90" s="213" t="str">
        <f>IFERROR(IF(ISNUMBER(SEARCH("TẶNG",VLOOKUP(E90,'Dự thu chiết khấu'!$L$3:$AW$226,38,0))),"TẶNG",""),"")</f>
        <v/>
      </c>
      <c r="AC90" s="49">
        <f t="shared" si="12"/>
        <v>15045454.909090906</v>
      </c>
      <c r="AD90" s="11">
        <f>IFERROR(VLOOKUP(E90,'Dự thu chiết khấu'!$L$3:$AM$226,28,0),0)</f>
        <v>0</v>
      </c>
      <c r="AE90" s="11">
        <f>IFERROR(VLOOKUP(E90,'Dự thu chiết khấu'!$L$3:$AN$226,29,0),0)</f>
        <v>0</v>
      </c>
      <c r="AF90" s="11">
        <f>IFERROR(VLOOKUP(E90,'Dự thu chiết khấu'!$L$3:$AO$226,30,0),0)</f>
        <v>10000000</v>
      </c>
    </row>
    <row r="91" spans="1:32">
      <c r="A91" s="11">
        <v>85</v>
      </c>
      <c r="B91" t="str">
        <f>IFERROR(INDEX('Dự thu chiết khấu'!$E:$E,MATCH(E91,'Dự thu chiết khấu'!$L:$L,0)),"")</f>
        <v>VŨ THỊ BÍCH HẰNG</v>
      </c>
      <c r="C91" s="51" t="str">
        <f>IFERROR(INDEX('Dự thu chiết khấu'!$F:$F,MATCH(E91,'Dự thu chiết khấu'!$L:$L,0)),"")</f>
        <v>NGUYỄN HOÀNG DIỆP</v>
      </c>
      <c r="D91" s="4" t="str">
        <f>IFERROR(INDEX('Dự thu chiết khấu'!$H:$H,MATCH(E91,'Dự thu chiết khấu'!$L:$L,0)),"")</f>
        <v>VF 3</v>
      </c>
      <c r="E91" s="4" t="str">
        <f>'Dự thu chiết khấu'!L88</f>
        <v>RLNVBL9K5ST716185</v>
      </c>
      <c r="F91" s="5" t="s">
        <v>104</v>
      </c>
      <c r="G91" s="5" t="str" cm="1">
        <f t="array" ref="G91">IFERROR(INDEX('DT-GV'!$X$6:$X$213,MATCH(1,('DT-GV'!$H$6:$H$213=E91)*('DT-GV'!$R$6:$R$213&lt;&gt;0),0)),IFERROR(VLOOKUP(E91,'DT-GV'!$H$6:$X$213,17,0),""))</f>
        <v>SLKD</v>
      </c>
      <c r="H91" s="6" t="str">
        <f>VLOOKUP(E91,'Dự thu chiết khấu'!$L$3:$M$226,2,0)</f>
        <v>S11007</v>
      </c>
      <c r="I91">
        <v>1</v>
      </c>
      <c r="J91" s="11">
        <f>VLOOKUP(E91,'Dự thu chiết khấu'!$L$3:$P$226,5,0)</f>
        <v>310000000</v>
      </c>
      <c r="K91" s="12">
        <f t="shared" si="8"/>
        <v>18600000</v>
      </c>
      <c r="L91" s="12">
        <f t="shared" si="9"/>
        <v>0</v>
      </c>
      <c r="M91" s="13">
        <f>IFERROR(VLOOKUP(E91,'Dự thu chiết khấu'!$L$3:$R$226,7,0),0)</f>
        <v>0</v>
      </c>
      <c r="N91" s="14">
        <f>IFERROR(VLOOKUP(E91,'Dự thu chiết khấu'!$L$3:$S$226,8,0),0)</f>
        <v>0</v>
      </c>
      <c r="O91" s="11">
        <f>IF(IFERROR(VLOOKUP(E91,'Dự thu chiết khấu'!$L$3:$T$226,9,0),0)&gt;0,J91*$O$5,0)</f>
        <v>0</v>
      </c>
      <c r="P91" s="13">
        <f>IFERROR(VLOOKUP(E91,'Dự thu chiết khấu'!$L$3:$U$226,10,0),0)</f>
        <v>0</v>
      </c>
      <c r="Q91" s="12">
        <f>IFERROR(VLOOKUP(E91,'Dự thu chiết khấu'!$L$3:$V$226,11,0),0)</f>
        <v>18000000</v>
      </c>
      <c r="R91" s="12">
        <f>VLOOKUP($E91,'Dự thu chiết khấu'!$L$3:$W$226,12,0)</f>
        <v>0</v>
      </c>
      <c r="S91" s="12">
        <f t="shared" si="10"/>
        <v>248545454.54545453</v>
      </c>
      <c r="T91" s="11">
        <f t="shared" si="11"/>
        <v>-0.45454546809196472</v>
      </c>
      <c r="U91" s="15">
        <f>SUMIFS('DT-GV'!$N$6:$N$213,'DT-GV'!$H$6:$H$213,E91,'DT-GV'!$R$6:$R$213,"&lt;&gt;0")</f>
        <v>248545455</v>
      </c>
      <c r="V91" s="48">
        <f>SUMIFS('DT-GV'!$N$6:$N$213,'DT-GV'!$H$6:$H$213,E91,'DT-GV'!$R$6:$R$213,0)</f>
        <v>0</v>
      </c>
      <c r="W91" s="15">
        <f>-SUMIFS('DT-GV'!$R$6:$R$213,'DT-GV'!$H$6:$H$213,E91)</f>
        <v>-270545455</v>
      </c>
      <c r="X91" s="11">
        <f>IFERROR(VLOOKUP($E91,'Dự thu chiết khấu'!$L$3:$AK$226,26,0)/1.1,0)</f>
        <v>31941818.18181818</v>
      </c>
      <c r="Y91" s="11">
        <f>IFERROR(VLOOKUP($E91,'Dự thu chiết khấu'!$L$3:$BE$226,46,0)/1.1,0)</f>
        <v>2485454.5454545454</v>
      </c>
      <c r="Z91" s="11">
        <f>-SUMIF('Lương năng suất'!$R$4:$R$208,E91,'Lương năng suất'!$AQ$4:$AQ$208)</f>
        <v>-8000000</v>
      </c>
      <c r="AA91" s="213" t="str">
        <f>IFERROR(IF(ISNUMBER(SEARCH("TẶNG",VLOOKUP(E91,'Dự thu chiết khấu'!$L$3:$AV$226,37,0))),"TẶNG",""),"")</f>
        <v/>
      </c>
      <c r="AB91" s="213" t="str">
        <f>IFERROR(IF(ISNUMBER(SEARCH("TẶNG",VLOOKUP(E91,'Dự thu chiết khấu'!$L$3:$AW$226,38,0))),"TẶNG",""),"")</f>
        <v/>
      </c>
      <c r="AC91" s="49">
        <f t="shared" si="12"/>
        <v>4427272.7272727247</v>
      </c>
      <c r="AD91" s="11">
        <f>IFERROR(VLOOKUP(E91,'Dự thu chiết khấu'!$L$3:$AM$226,28,0),0)</f>
        <v>0</v>
      </c>
      <c r="AE91" s="11">
        <f>IFERROR(VLOOKUP(E91,'Dự thu chiết khấu'!$L$3:$AN$226,29,0),0)</f>
        <v>0</v>
      </c>
      <c r="AF91" s="11">
        <f>IFERROR(VLOOKUP(E91,'Dự thu chiết khấu'!$L$3:$AO$226,30,0),0)</f>
        <v>0</v>
      </c>
    </row>
    <row r="92" spans="1:32">
      <c r="A92">
        <v>86</v>
      </c>
      <c r="B92" t="str">
        <f>IFERROR(INDEX('Dự thu chiết khấu'!$E:$E,MATCH(E92,'Dự thu chiết khấu'!$L:$L,0)),"")</f>
        <v>HUỲNH QUỐC HUY</v>
      </c>
      <c r="C92" s="51" t="str">
        <f>IFERROR(INDEX('Dự thu chiết khấu'!$F:$F,MATCH(E92,'Dự thu chiết khấu'!$L:$L,0)),"")</f>
        <v>HOÀNG DUY ANH</v>
      </c>
      <c r="D92" s="4" t="str">
        <f>IFERROR(INDEX('Dự thu chiết khấu'!$H:$H,MATCH(E92,'Dự thu chiết khấu'!$L:$L,0)),"")</f>
        <v>VF 3</v>
      </c>
      <c r="E92" s="4" t="str">
        <f>'Dự thu chiết khấu'!L89</f>
        <v>RLNVBL9K9TT712951</v>
      </c>
      <c r="F92" s="5" t="s">
        <v>104</v>
      </c>
      <c r="G92" s="5" t="str" cm="1">
        <f t="array" ref="G92">IFERROR(INDEX('DT-GV'!$X$6:$X$213,MATCH(1,('DT-GV'!$H$6:$H$213=E92)*('DT-GV'!$R$6:$R$213&lt;&gt;0),0)),IFERROR(VLOOKUP(E92,'DT-GV'!$H$6:$X$213,17,0),""))</f>
        <v>SLKD</v>
      </c>
      <c r="H92" s="7" t="str">
        <f>VLOOKUP(E92,'Dự thu chiết khấu'!$L$3:$M$226,2,0)</f>
        <v>S11007</v>
      </c>
      <c r="I92">
        <v>1</v>
      </c>
      <c r="J92" s="11">
        <f>VLOOKUP(E92,'Dự thu chiết khấu'!$L$3:$P$226,5,0)</f>
        <v>315000000</v>
      </c>
      <c r="K92" s="12">
        <f t="shared" si="8"/>
        <v>18900000</v>
      </c>
      <c r="L92" s="12">
        <f t="shared" si="9"/>
        <v>0</v>
      </c>
      <c r="M92" s="13">
        <f>IFERROR(VLOOKUP(E92,'Dự thu chiết khấu'!$L$3:$R$226,7,0),0)</f>
        <v>0</v>
      </c>
      <c r="N92" s="14">
        <f>IFERROR(VLOOKUP(E92,'Dự thu chiết khấu'!$L$3:$S$226,8,0),0)</f>
        <v>0</v>
      </c>
      <c r="O92" s="11">
        <f>IF(IFERROR(VLOOKUP(E92,'Dự thu chiết khấu'!$L$3:$T$226,9,0),0)&gt;0,J92*$O$5,0)</f>
        <v>9450000</v>
      </c>
      <c r="P92" s="13">
        <f>IFERROR(VLOOKUP(E92,'Dự thu chiết khấu'!$L$3:$U$226,10,0),0)</f>
        <v>0</v>
      </c>
      <c r="Q92" s="12">
        <f>IFERROR(VLOOKUP(E92,'Dự thu chiết khấu'!$L$3:$V$226,11,0),0)</f>
        <v>2500000</v>
      </c>
      <c r="R92" s="12">
        <f>VLOOKUP($E92,'Dự thu chiết khấu'!$L$3:$W$226,12,0)</f>
        <v>0</v>
      </c>
      <c r="S92" s="12">
        <f t="shared" si="10"/>
        <v>258318181.81818178</v>
      </c>
      <c r="T92" s="11">
        <f t="shared" si="11"/>
        <v>-0.18181821703910828</v>
      </c>
      <c r="U92" s="15">
        <f>SUMIFS('DT-GV'!$N$6:$N$213,'DT-GV'!$H$6:$H$213,E92,'DT-GV'!$R$6:$R$213,"&lt;&gt;0")</f>
        <v>258318182</v>
      </c>
      <c r="V92" s="48">
        <f>SUMIFS('DT-GV'!$N$6:$N$213,'DT-GV'!$H$6:$H$213,E92,'DT-GV'!$R$6:$R$213,0)</f>
        <v>0</v>
      </c>
      <c r="W92" s="15">
        <f>-SUMIFS('DT-GV'!$R$6:$R$213,'DT-GV'!$H$6:$H$213,E92)</f>
        <v>-274909091</v>
      </c>
      <c r="X92" s="11">
        <f>IFERROR(VLOOKUP($E92,'Dự thu chiết khấu'!$L$3:$AK$226,26,0)/1.1,0)</f>
        <v>26923636.363636363</v>
      </c>
      <c r="Y92" s="11">
        <f>IFERROR(VLOOKUP($E92,'Dự thu chiết khấu'!$L$3:$BE$226,46,0)/1.1,0)</f>
        <v>2583181.8181818179</v>
      </c>
      <c r="Z92" s="11">
        <f>-SUMIF('Lương năng suất'!$R$4:$R$208,E92,'Lương năng suất'!$AQ$4:$AQ$208)</f>
        <v>-6800000</v>
      </c>
      <c r="AA92" s="213" t="str">
        <f>IFERROR(IF(ISNUMBER(SEARCH("TẶNG",VLOOKUP(E92,'Dự thu chiết khấu'!$L$3:$AV$226,37,0))),"TẶNG",""),"")</f>
        <v/>
      </c>
      <c r="AB92" s="213" t="str">
        <f>IFERROR(IF(ISNUMBER(SEARCH("TẶNG",VLOOKUP(E92,'Dự thu chiết khấu'!$L$3:$AW$226,38,0))),"TẶNG",""),"")</f>
        <v/>
      </c>
      <c r="AC92" s="49">
        <f t="shared" si="12"/>
        <v>6115909.1818181816</v>
      </c>
      <c r="AD92" s="11">
        <f>IFERROR(VLOOKUP(E92,'Dự thu chiết khấu'!$L$3:$AM$226,28,0),0)</f>
        <v>0</v>
      </c>
      <c r="AE92" s="11">
        <f>IFERROR(VLOOKUP(E92,'Dự thu chiết khấu'!$L$3:$AN$226,29,0),0)</f>
        <v>0</v>
      </c>
      <c r="AF92" s="11">
        <f>IFERROR(VLOOKUP(E92,'Dự thu chiết khấu'!$L$3:$AO$226,30,0),0)</f>
        <v>0</v>
      </c>
    </row>
    <row r="93" spans="1:32">
      <c r="A93" s="11">
        <v>87</v>
      </c>
      <c r="B93" t="str">
        <f>IFERROR(INDEX('Dự thu chiết khấu'!$E:$E,MATCH(E93,'Dự thu chiết khấu'!$L:$L,0)),"")</f>
        <v>HUỲNH QUỐC HUY</v>
      </c>
      <c r="C93" s="51" t="str">
        <f>IFERROR(INDEX('Dự thu chiết khấu'!$F:$F,MATCH(E93,'Dự thu chiết khấu'!$L:$L,0)),"")</f>
        <v>PHÙNG ĐỨC VIỆT TÂM</v>
      </c>
      <c r="D93" s="4" t="str">
        <f>IFERROR(INDEX('Dự thu chiết khấu'!$H:$H,MATCH(E93,'Dự thu chiết khấu'!$L:$L,0)),"")</f>
        <v>VF 5</v>
      </c>
      <c r="E93" s="4" t="str">
        <f>'Dự thu chiết khấu'!L90</f>
        <v>RLNV5JSE1SH895604</v>
      </c>
      <c r="F93" s="5" t="s">
        <v>104</v>
      </c>
      <c r="G93" s="5" t="str" cm="1">
        <f t="array" ref="G93">IFERROR(INDEX('DT-GV'!$X$6:$X$213,MATCH(1,('DT-GV'!$H$6:$H$213=E93)*('DT-GV'!$R$6:$R$213&lt;&gt;0),0)),IFERROR(VLOOKUP(E93,'DT-GV'!$H$6:$X$213,17,0),""))</f>
        <v>SLKD</v>
      </c>
      <c r="H93" s="8" t="str">
        <f>VLOOKUP(E93,'Dự thu chiết khấu'!$L$3:$M$226,2,0)</f>
        <v>S11007</v>
      </c>
      <c r="I93">
        <v>1</v>
      </c>
      <c r="J93" s="11">
        <f>VLOOKUP(E93,'Dự thu chiết khấu'!$L$3:$P$226,5,0)</f>
        <v>529000000</v>
      </c>
      <c r="K93" s="12">
        <f t="shared" si="8"/>
        <v>31740000</v>
      </c>
      <c r="L93" s="12">
        <f t="shared" si="9"/>
        <v>0</v>
      </c>
      <c r="M93" s="13">
        <f>IFERROR(VLOOKUP(E93,'Dự thu chiết khấu'!$L$3:$R$226,7,0),0)</f>
        <v>0</v>
      </c>
      <c r="N93" s="14">
        <f>IFERROR(VLOOKUP(E93,'Dự thu chiết khấu'!$L$3:$S$226,8,0),0)</f>
        <v>5.0000000000000001E-3</v>
      </c>
      <c r="O93" s="11">
        <f>IF(IFERROR(VLOOKUP(E93,'Dự thu chiết khấu'!$L$3:$T$226,9,0),0)&gt;0,J93*$O$5,0)</f>
        <v>15870000</v>
      </c>
      <c r="P93" s="13">
        <f>IFERROR(VLOOKUP(E93,'Dự thu chiết khấu'!$L$3:$U$226,10,0),0)</f>
        <v>0</v>
      </c>
      <c r="Q93" s="12">
        <f>IFERROR(VLOOKUP(E93,'Dự thu chiết khấu'!$L$3:$V$226,11,0),0)</f>
        <v>15000000</v>
      </c>
      <c r="R93" s="12">
        <f>VLOOKUP($E93,'Dự thu chiết khấu'!$L$3:$W$226,12,0)</f>
        <v>6000000</v>
      </c>
      <c r="S93" s="12">
        <f t="shared" si="10"/>
        <v>416416409.09090906</v>
      </c>
      <c r="T93" s="11">
        <f t="shared" si="11"/>
        <v>45.090909063816071</v>
      </c>
      <c r="U93" s="15">
        <f>SUMIFS('DT-GV'!$N$6:$N$213,'DT-GV'!$H$6:$H$213,E93,'DT-GV'!$R$6:$R$213,"&lt;&gt;0")</f>
        <v>416416364</v>
      </c>
      <c r="V93" s="48">
        <f>SUMIFS('DT-GV'!$N$6:$N$213,'DT-GV'!$H$6:$H$213,E93,'DT-GV'!$R$6:$R$213,0)</f>
        <v>0</v>
      </c>
      <c r="W93" s="15">
        <f>-SUMIFS('DT-GV'!$R$6:$R$213,'DT-GV'!$H$6:$H$213,E93)</f>
        <v>-461672727</v>
      </c>
      <c r="X93" s="11">
        <f>IFERROR(VLOOKUP($E93,'Dự thu chiết khấu'!$L$3:$AK$226,26,0)/1.1,0)</f>
        <v>56676610.909090906</v>
      </c>
      <c r="Y93" s="11">
        <f>IFERROR(VLOOKUP($E93,'Dự thu chiết khấu'!$L$3:$BE$226,46,0)/1.1,0)</f>
        <v>4218709.5454545449</v>
      </c>
      <c r="Z93" s="11">
        <f>-SUMIF('Lương năng suất'!$R$4:$R$208,E93,'Lương năng suất'!$AQ$4:$AQ$208)</f>
        <v>-9600000</v>
      </c>
      <c r="AA93" s="213" t="str">
        <f>IFERROR(IF(ISNUMBER(SEARCH("TẶNG",VLOOKUP(E93,'Dự thu chiết khấu'!$L$3:$AV$226,37,0))),"TẶNG",""),"")</f>
        <v/>
      </c>
      <c r="AB93" s="213" t="str">
        <f>IFERROR(IF(ISNUMBER(SEARCH("TẶNG",VLOOKUP(E93,'Dự thu chiết khấu'!$L$3:$AW$226,38,0))),"TẶNG",""),"")</f>
        <v/>
      </c>
      <c r="AC93" s="49">
        <f t="shared" si="12"/>
        <v>6038957.4545454513</v>
      </c>
      <c r="AD93" s="11">
        <f>IFERROR(VLOOKUP(E93,'Dự thu chiết khấu'!$L$3:$AM$226,28,0),0)</f>
        <v>0</v>
      </c>
      <c r="AE93" s="11">
        <f>IFERROR(VLOOKUP(E93,'Dự thu chiết khấu'!$L$3:$AN$226,29,0),0)</f>
        <v>0</v>
      </c>
      <c r="AF93" s="11">
        <f>IFERROR(VLOOKUP(E93,'Dự thu chiết khấu'!$L$3:$AO$226,30,0),0)</f>
        <v>0</v>
      </c>
    </row>
    <row r="94" spans="1:32">
      <c r="A94">
        <v>88</v>
      </c>
      <c r="B94" t="str">
        <f>IFERROR(INDEX('Dự thu chiết khấu'!$E:$E,MATCH(E94,'Dự thu chiết khấu'!$L:$L,0)),"")</f>
        <v>CHÂU PHẠM THÀNH ĐẠT</v>
      </c>
      <c r="C94" s="51" t="str">
        <f>IFERROR(INDEX('Dự thu chiết khấu'!$F:$F,MATCH(E94,'Dự thu chiết khấu'!$L:$L,0)),"")</f>
        <v xml:space="preserve">HUỲNH QUỐC DŨNG </v>
      </c>
      <c r="D94" s="4" t="str">
        <f>IFERROR(INDEX('Dự thu chiết khấu'!$H:$H,MATCH(E94,'Dự thu chiết khấu'!$L:$L,0)),"")</f>
        <v>LIMO GREEN</v>
      </c>
      <c r="E94" s="4" t="str">
        <f>'Dự thu chiết khấu'!L91</f>
        <v>RLLVFPNTXTH705173</v>
      </c>
      <c r="F94" s="5" t="s">
        <v>104</v>
      </c>
      <c r="G94" s="5" t="str" cm="1">
        <f t="array" ref="G94">IFERROR(INDEX('DT-GV'!$X$6:$X$213,MATCH(1,('DT-GV'!$H$6:$H$213=E94)*('DT-GV'!$R$6:$R$213&lt;&gt;0),0)),IFERROR(VLOOKUP(E94,'DT-GV'!$H$6:$X$213,17,0),""))</f>
        <v>SLKD</v>
      </c>
      <c r="H94" s="8" t="str">
        <f>VLOOKUP(E94,'Dự thu chiết khấu'!$L$3:$M$226,2,0)</f>
        <v>S11006</v>
      </c>
      <c r="I94">
        <v>1</v>
      </c>
      <c r="J94" s="11">
        <f>VLOOKUP(E94,'Dự thu chiết khấu'!$L$3:$P$226,5,0)</f>
        <v>749000000</v>
      </c>
      <c r="K94" s="12">
        <f t="shared" si="8"/>
        <v>44940000</v>
      </c>
      <c r="L94" s="12">
        <f t="shared" si="9"/>
        <v>0</v>
      </c>
      <c r="M94" s="13">
        <f>IFERROR(VLOOKUP(E94,'Dự thu chiết khấu'!$L$3:$R$226,7,0),0)</f>
        <v>0</v>
      </c>
      <c r="N94" s="14">
        <f>IFERROR(VLOOKUP(E94,'Dự thu chiết khấu'!$L$3:$S$226,8,0),0)</f>
        <v>0</v>
      </c>
      <c r="O94" s="11">
        <f>IF(IFERROR(VLOOKUP(E94,'Dự thu chiết khấu'!$L$3:$T$226,9,0),0)&gt;0,J94*$O$5,0)</f>
        <v>22470000</v>
      </c>
      <c r="P94" s="13">
        <f>IFERROR(VLOOKUP(E94,'Dự thu chiết khấu'!$L$3:$U$226,10,0),0)</f>
        <v>0</v>
      </c>
      <c r="Q94" s="12">
        <f>IFERROR(VLOOKUP(E94,'Dự thu chiết khấu'!$L$3:$V$226,11,0),0)</f>
        <v>0</v>
      </c>
      <c r="R94" s="12">
        <f>VLOOKUP($E94,'Dự thu chiết khấu'!$L$3:$W$226,12,0)</f>
        <v>6000000</v>
      </c>
      <c r="S94" s="12">
        <f t="shared" si="10"/>
        <v>614172727.27272725</v>
      </c>
      <c r="T94" s="11">
        <f t="shared" si="11"/>
        <v>0.27272725105285645</v>
      </c>
      <c r="U94" s="15">
        <f>SUMIFS('DT-GV'!$N$6:$N$213,'DT-GV'!$H$6:$H$213,E94,'DT-GV'!$R$6:$R$213,"&lt;&gt;0")</f>
        <v>614172727</v>
      </c>
      <c r="V94" s="48">
        <f>SUMIFS('DT-GV'!$N$6:$N$213,'DT-GV'!$H$6:$H$213,E94,'DT-GV'!$R$6:$R$213,0)</f>
        <v>0</v>
      </c>
      <c r="W94" s="15">
        <f>-SUMIFS('DT-GV'!$R$6:$R$213,'DT-GV'!$H$6:$H$213,E94)</f>
        <v>-653672727</v>
      </c>
      <c r="X94" s="11">
        <f>IFERROR(VLOOKUP($E94,'Dự thu chiết khấu'!$L$3:$AK$226,26,0)/1.1,0)</f>
        <v>58830545.454545453</v>
      </c>
      <c r="Y94" s="11">
        <f>IFERROR(VLOOKUP($E94,'Dự thu chiết khấu'!$L$3:$BE$226,46,0)/1.1,0)</f>
        <v>6196272.7272727266</v>
      </c>
      <c r="Z94" s="11">
        <f>-SUMIF('Lương năng suất'!$R$4:$R$208,E94,'Lương năng suất'!$AQ$4:$AQ$208)</f>
        <v>-13400000</v>
      </c>
      <c r="AA94" s="213" t="str">
        <f>IFERROR(IF(ISNUMBER(SEARCH("TẶNG",VLOOKUP(E94,'Dự thu chiết khấu'!$L$3:$AV$226,37,0))),"TẶNG",""),"")</f>
        <v/>
      </c>
      <c r="AB94" s="213" t="str">
        <f>IFERROR(IF(ISNUMBER(SEARCH("TẶNG",VLOOKUP(E94,'Dự thu chiết khấu'!$L$3:$AW$226,38,0))),"TẶNG",""),"")</f>
        <v/>
      </c>
      <c r="AC94" s="49">
        <f t="shared" si="12"/>
        <v>12126818.18181818</v>
      </c>
      <c r="AD94" s="11">
        <f>IFERROR(VLOOKUP(E94,'Dự thu chiết khấu'!$L$3:$AM$226,28,0),0)</f>
        <v>0</v>
      </c>
      <c r="AE94" s="11">
        <f>IFERROR(VLOOKUP(E94,'Dự thu chiết khấu'!$L$3:$AN$226,29,0),0)</f>
        <v>0</v>
      </c>
      <c r="AF94" s="11">
        <f>IFERROR(VLOOKUP(E94,'Dự thu chiết khấu'!$L$3:$AO$226,30,0),0)</f>
        <v>0</v>
      </c>
    </row>
    <row r="95" spans="1:32">
      <c r="A95" s="11">
        <v>89</v>
      </c>
      <c r="B95" t="str">
        <f>IFERROR(INDEX('Dự thu chiết khấu'!$E:$E,MATCH(E95,'Dự thu chiết khấu'!$L:$L,0)),"")</f>
        <v>Trịnh Trung Tín</v>
      </c>
      <c r="C95" s="51" t="str">
        <f>IFERROR(INDEX('Dự thu chiết khấu'!$F:$F,MATCH(E95,'Dự thu chiết khấu'!$L:$L,0)),"")</f>
        <v>PHẠM NHƯ NGỌC</v>
      </c>
      <c r="D95" s="4" t="str">
        <f>IFERROR(INDEX('Dự thu chiết khấu'!$H:$H,MATCH(E95,'Dự thu chiết khấu'!$L:$L,0)),"")</f>
        <v>VF 3</v>
      </c>
      <c r="E95" s="4" t="str">
        <f>'Dự thu chiết khấu'!L92</f>
        <v>RLNVBL9KXTT711856</v>
      </c>
      <c r="F95" s="5" t="s">
        <v>100</v>
      </c>
      <c r="G95" s="5" t="str" cm="1">
        <f t="array" ref="G95">IFERROR(INDEX('DT-GV'!$X$6:$X$213,MATCH(1,('DT-GV'!$H$6:$H$213=E95)*('DT-GV'!$R$6:$R$213&lt;&gt;0),0)),IFERROR(VLOOKUP(E95,'DT-GV'!$H$6:$X$213,17,0),""))</f>
        <v>LAKD</v>
      </c>
      <c r="H95" s="6" t="str">
        <f>VLOOKUP(E95,'Dự thu chiết khấu'!$L$3:$M$226,2,0)</f>
        <v>S11001</v>
      </c>
      <c r="I95">
        <v>1</v>
      </c>
      <c r="J95" s="11">
        <f>VLOOKUP(E95,'Dự thu chiết khấu'!$L$3:$P$226,5,0)</f>
        <v>315000000</v>
      </c>
      <c r="K95" s="12">
        <f t="shared" si="8"/>
        <v>18900000</v>
      </c>
      <c r="L95" s="12">
        <f t="shared" si="9"/>
        <v>0</v>
      </c>
      <c r="M95" s="13">
        <f>IFERROR(VLOOKUP(E95,'Dự thu chiết khấu'!$L$3:$R$226,7,0),0)</f>
        <v>0</v>
      </c>
      <c r="N95" s="14">
        <f>IFERROR(VLOOKUP(E95,'Dự thu chiết khấu'!$L$3:$S$226,8,0),0)</f>
        <v>0</v>
      </c>
      <c r="O95" s="11">
        <f>IF(IFERROR(VLOOKUP(E95,'Dự thu chiết khấu'!$L$3:$T$226,9,0),0)&gt;0,J95*$O$5,0)</f>
        <v>0</v>
      </c>
      <c r="P95" s="13">
        <f>IFERROR(VLOOKUP(E95,'Dự thu chiết khấu'!$L$3:$U$226,10,0),0)</f>
        <v>0</v>
      </c>
      <c r="Q95" s="12">
        <f>IFERROR(VLOOKUP(E95,'Dự thu chiết khấu'!$L$3:$V$226,11,0),0)</f>
        <v>0</v>
      </c>
      <c r="R95" s="12">
        <f>VLOOKUP($E95,'Dự thu chiết khấu'!$L$3:$W$226,12,0)</f>
        <v>0</v>
      </c>
      <c r="S95" s="12">
        <f t="shared" si="10"/>
        <v>269181818.18181819</v>
      </c>
      <c r="T95" s="11">
        <f t="shared" si="11"/>
        <v>0.18181818723678589</v>
      </c>
      <c r="U95" s="15">
        <f>SUMIFS('DT-GV'!$N$6:$N$213,'DT-GV'!$H$6:$H$213,E95,'DT-GV'!$R$6:$R$213,"&lt;&gt;0")</f>
        <v>269181818</v>
      </c>
      <c r="V95" s="48">
        <f>SUMIFS('DT-GV'!$N$6:$N$213,'DT-GV'!$H$6:$H$213,E95,'DT-GV'!$R$6:$R$213,0)</f>
        <v>0</v>
      </c>
      <c r="W95" s="15">
        <f>-SUMIFS('DT-GV'!$R$6:$R$213,'DT-GV'!$H$6:$H$213,E95)</f>
        <v>-274909091</v>
      </c>
      <c r="X95" s="11">
        <f>IFERROR(VLOOKUP($E95,'Dự thu chiết khấu'!$L$3:$AK$226,26,0)/1.1,0)</f>
        <v>16494545.454545453</v>
      </c>
      <c r="Y95" s="11">
        <f>IFERROR(VLOOKUP($E95,'Dự thu chiết khấu'!$L$3:$BE$226,46,0)/1.1,0)</f>
        <v>0</v>
      </c>
      <c r="Z95" s="11">
        <f>-SUMIF('Lương năng suất'!$R$4:$R$208,E95,'Lương năng suất'!$AQ$4:$AQ$208)</f>
        <v>-5100000</v>
      </c>
      <c r="AA95" s="213" t="str">
        <f>IFERROR(IF(ISNUMBER(SEARCH("TẶNG",VLOOKUP(E95,'Dự thu chiết khấu'!$L$3:$AV$226,37,0))),"TẶNG",""),"")</f>
        <v>TẶNG</v>
      </c>
      <c r="AB95" s="213" t="str">
        <f>IFERROR(IF(ISNUMBER(SEARCH("TẶNG",VLOOKUP(E95,'Dự thu chiết khấu'!$L$3:$AW$226,38,0))),"TẶNG",""),"")</f>
        <v/>
      </c>
      <c r="AC95" s="49">
        <f t="shared" si="12"/>
        <v>5667272.4545454532</v>
      </c>
      <c r="AD95" s="11">
        <f>IFERROR(VLOOKUP(E95,'Dự thu chiết khấu'!$L$3:$AM$226,28,0),0)</f>
        <v>0</v>
      </c>
      <c r="AE95" s="11">
        <f>IFERROR(VLOOKUP(E95,'Dự thu chiết khấu'!$L$3:$AN$226,29,0),0)</f>
        <v>0</v>
      </c>
      <c r="AF95" s="11">
        <f>IFERROR(VLOOKUP(E95,'Dự thu chiết khấu'!$L$3:$AO$226,30,0),0)</f>
        <v>0</v>
      </c>
    </row>
    <row r="96" spans="1:32">
      <c r="A96">
        <v>90</v>
      </c>
      <c r="B96" t="str">
        <f>IFERROR(INDEX('Dự thu chiết khấu'!$E:$E,MATCH(E96,'Dự thu chiết khấu'!$L:$L,0)),"")</f>
        <v>Lê Thị Kiều My</v>
      </c>
      <c r="C96" s="51" t="str">
        <f>IFERROR(INDEX('Dự thu chiết khấu'!$F:$F,MATCH(E96,'Dự thu chiết khấu'!$L:$L,0)),"")</f>
        <v>LÊ TẤN SƠN</v>
      </c>
      <c r="D96" s="4" t="str">
        <f>IFERROR(INDEX('Dự thu chiết khấu'!$H:$H,MATCH(E96,'Dự thu chiết khấu'!$L:$L,0)),"")</f>
        <v>VF 3</v>
      </c>
      <c r="E96" s="4" t="str">
        <f>'Dự thu chiết khấu'!L93</f>
        <v>RLNVBL9K8TT712018</v>
      </c>
      <c r="F96" s="5" t="s">
        <v>112</v>
      </c>
      <c r="G96" s="5" t="str" cm="1">
        <f t="array" ref="G96">IFERROR(INDEX('DT-GV'!$X$6:$X$213,MATCH(1,('DT-GV'!$H$6:$H$213=E96)*('DT-GV'!$R$6:$R$213&lt;&gt;0),0)),IFERROR(VLOOKUP(E96,'DT-GV'!$H$6:$X$213,17,0),""))</f>
        <v>BLKD</v>
      </c>
      <c r="H96" s="6" t="str">
        <f>VLOOKUP(E96,'Dự thu chiết khấu'!$L$3:$M$226,2,0)</f>
        <v>S11006</v>
      </c>
      <c r="I96">
        <v>1</v>
      </c>
      <c r="J96" s="11">
        <f>VLOOKUP(E96,'Dự thu chiết khấu'!$L$3:$P$226,5,0)</f>
        <v>315000000</v>
      </c>
      <c r="K96" s="12">
        <f t="shared" si="8"/>
        <v>18900000</v>
      </c>
      <c r="L96" s="12">
        <f t="shared" si="9"/>
        <v>0</v>
      </c>
      <c r="M96" s="13">
        <f>IFERROR(VLOOKUP(E96,'Dự thu chiết khấu'!$L$3:$R$226,7,0),0)</f>
        <v>0</v>
      </c>
      <c r="N96" s="14">
        <f>IFERROR(VLOOKUP(E96,'Dự thu chiết khấu'!$L$3:$S$226,8,0),0)</f>
        <v>0</v>
      </c>
      <c r="O96" s="11">
        <f>IF(IFERROR(VLOOKUP(E96,'Dự thu chiết khấu'!$L$3:$T$226,9,0),0)&gt;0,J96*$O$5,0)</f>
        <v>0</v>
      </c>
      <c r="P96" s="13">
        <f>IFERROR(VLOOKUP(E96,'Dự thu chiết khấu'!$L$3:$U$226,10,0),0)</f>
        <v>0</v>
      </c>
      <c r="Q96" s="12">
        <f>IFERROR(VLOOKUP(E96,'Dự thu chiết khấu'!$L$3:$V$226,11,0),0)</f>
        <v>0</v>
      </c>
      <c r="R96" s="12">
        <f>VLOOKUP($E96,'Dự thu chiết khấu'!$L$3:$W$226,12,0)</f>
        <v>0</v>
      </c>
      <c r="S96" s="12">
        <f t="shared" si="10"/>
        <v>269181818.18181819</v>
      </c>
      <c r="T96" s="11">
        <f t="shared" si="11"/>
        <v>0.18181818723678589</v>
      </c>
      <c r="U96" s="15">
        <f>SUMIFS('DT-GV'!$N$6:$N$213,'DT-GV'!$H$6:$H$213,E96,'DT-GV'!$R$6:$R$213,"&lt;&gt;0")</f>
        <v>269181818</v>
      </c>
      <c r="V96" s="48">
        <f>SUMIFS('DT-GV'!$N$6:$N$213,'DT-GV'!$H$6:$H$213,E96,'DT-GV'!$R$6:$R$213,0)</f>
        <v>0</v>
      </c>
      <c r="W96" s="15">
        <f>-SUMIFS('DT-GV'!$R$6:$R$213,'DT-GV'!$H$6:$H$213,E96)</f>
        <v>-274909091</v>
      </c>
      <c r="X96" s="11">
        <f>IFERROR(VLOOKUP($E96,'Dự thu chiết khấu'!$L$3:$AK$226,26,0)/1.1,0)</f>
        <v>16494545.454545453</v>
      </c>
      <c r="Y96" s="11">
        <f>IFERROR(VLOOKUP($E96,'Dự thu chiết khấu'!$L$3:$BE$226,46,0)/1.1,0)</f>
        <v>2691818.1818181816</v>
      </c>
      <c r="Z96" s="11">
        <f>-SUMIF('Lương năng suất'!$R$4:$R$208,E96,'Lương năng suất'!$AQ$4:$AQ$208)</f>
        <v>-5100000</v>
      </c>
      <c r="AA96" s="213" t="str">
        <f>IFERROR(IF(ISNUMBER(SEARCH("TẶNG",VLOOKUP(E96,'Dự thu chiết khấu'!$L$3:$AV$226,37,0))),"TẶNG",""),"")</f>
        <v/>
      </c>
      <c r="AB96" s="213" t="str">
        <f>IFERROR(IF(ISNUMBER(SEARCH("TẶNG",VLOOKUP(E96,'Dự thu chiết khấu'!$L$3:$AW$226,38,0))),"TẶNG",""),"")</f>
        <v/>
      </c>
      <c r="AC96" s="49">
        <f t="shared" si="12"/>
        <v>8359090.6363636348</v>
      </c>
      <c r="AD96" s="11">
        <f>IFERROR(VLOOKUP(E96,'Dự thu chiết khấu'!$L$3:$AM$226,28,0),0)</f>
        <v>0</v>
      </c>
      <c r="AE96" s="11">
        <f>IFERROR(VLOOKUP(E96,'Dự thu chiết khấu'!$L$3:$AN$226,29,0),0)</f>
        <v>0</v>
      </c>
      <c r="AF96" s="11">
        <f>IFERROR(VLOOKUP(E96,'Dự thu chiết khấu'!$L$3:$AO$226,30,0),0)</f>
        <v>5000000</v>
      </c>
    </row>
    <row r="97" spans="1:32">
      <c r="A97" s="11">
        <v>91</v>
      </c>
      <c r="B97" t="str">
        <f>IFERROR(INDEX('Dự thu chiết khấu'!$E:$E,MATCH(E97,'Dự thu chiết khấu'!$L:$L,0)),"")</f>
        <v>Trần Anh Vũ</v>
      </c>
      <c r="C97" s="51" t="str">
        <f>IFERROR(INDEX('Dự thu chiết khấu'!$F:$F,MATCH(E97,'Dự thu chiết khấu'!$L:$L,0)),"")</f>
        <v>PHẠM DUY CHINH</v>
      </c>
      <c r="D97" s="4" t="str">
        <f>IFERROR(INDEX('Dự thu chiết khấu'!$H:$H,MATCH(E97,'Dự thu chiết khấu'!$L:$L,0)),"")</f>
        <v>VF 3</v>
      </c>
      <c r="E97" s="4" t="str">
        <f>'Dự thu chiết khấu'!L94</f>
        <v>RLNVBL9K5ST716641</v>
      </c>
      <c r="F97" s="5" t="s">
        <v>112</v>
      </c>
      <c r="G97" s="5" t="str" cm="1">
        <f t="array" ref="G97">IFERROR(INDEX('DT-GV'!$X$6:$X$213,MATCH(1,('DT-GV'!$H$6:$H$213=E97)*('DT-GV'!$R$6:$R$213&lt;&gt;0),0)),IFERROR(VLOOKUP(E97,'DT-GV'!$H$6:$X$213,17,0),""))</f>
        <v>BLKD</v>
      </c>
      <c r="H97" s="8" t="str">
        <f>VLOOKUP(E97,'Dự thu chiết khấu'!$L$3:$M$226,2,0)</f>
        <v>S11006</v>
      </c>
      <c r="I97">
        <v>1</v>
      </c>
      <c r="J97" s="11">
        <f>VLOOKUP(E97,'Dự thu chiết khấu'!$L$3:$P$226,5,0)</f>
        <v>310000000</v>
      </c>
      <c r="K97" s="12">
        <f t="shared" si="8"/>
        <v>18600000</v>
      </c>
      <c r="L97" s="12">
        <f t="shared" si="9"/>
        <v>0</v>
      </c>
      <c r="M97" s="13">
        <f>IFERROR(VLOOKUP(E97,'Dự thu chiết khấu'!$L$3:$R$226,7,0),0)</f>
        <v>0</v>
      </c>
      <c r="N97" s="14">
        <f>IFERROR(VLOOKUP(E97,'Dự thu chiết khấu'!$L$3:$S$226,8,0),0)</f>
        <v>0</v>
      </c>
      <c r="O97" s="11">
        <f>IF(IFERROR(VLOOKUP(E97,'Dự thu chiết khấu'!$L$3:$T$226,9,0),0)&gt;0,J97*$O$5,0)</f>
        <v>0</v>
      </c>
      <c r="P97" s="13">
        <f>IFERROR(VLOOKUP(E97,'Dự thu chiết khấu'!$L$3:$U$226,10,0),0)</f>
        <v>0</v>
      </c>
      <c r="Q97" s="12">
        <f>IFERROR(VLOOKUP(E97,'Dự thu chiết khấu'!$L$3:$V$226,11,0),0)</f>
        <v>18000000</v>
      </c>
      <c r="R97" s="12">
        <f>VLOOKUP($E97,'Dự thu chiết khấu'!$L$3:$W$226,12,0)</f>
        <v>0</v>
      </c>
      <c r="S97" s="12">
        <f t="shared" si="10"/>
        <v>248545454.54545453</v>
      </c>
      <c r="T97" s="11">
        <f t="shared" si="11"/>
        <v>-0.45454546809196472</v>
      </c>
      <c r="U97" s="15">
        <f>SUMIFS('DT-GV'!$N$6:$N$213,'DT-GV'!$H$6:$H$213,E97,'DT-GV'!$R$6:$R$213,"&lt;&gt;0")</f>
        <v>248545455</v>
      </c>
      <c r="V97" s="48">
        <f>SUMIFS('DT-GV'!$N$6:$N$213,'DT-GV'!$H$6:$H$213,E97,'DT-GV'!$R$6:$R$213,0)</f>
        <v>0</v>
      </c>
      <c r="W97" s="15">
        <f>-SUMIFS('DT-GV'!$R$6:$R$213,'DT-GV'!$H$6:$H$213,E97)</f>
        <v>-270545455</v>
      </c>
      <c r="X97" s="11">
        <f>IFERROR(VLOOKUP($E97,'Dự thu chiết khấu'!$L$3:$AK$226,26,0)/1.1,0)</f>
        <v>31941818.18181818</v>
      </c>
      <c r="Y97" s="11">
        <f>IFERROR(VLOOKUP($E97,'Dự thu chiết khấu'!$L$3:$BE$226,46,0)/1.1,0)</f>
        <v>2485454.5454545454</v>
      </c>
      <c r="Z97" s="11">
        <f>-SUMIF('Lương năng suất'!$R$4:$R$208,E97,'Lương năng suất'!$AQ$4:$AQ$208)</f>
        <v>-6400000</v>
      </c>
      <c r="AA97" s="213" t="str">
        <f>IFERROR(IF(ISNUMBER(SEARCH("TẶNG",VLOOKUP(E97,'Dự thu chiết khấu'!$L$3:$AV$226,37,0))),"TẶNG",""),"")</f>
        <v/>
      </c>
      <c r="AB97" s="213" t="str">
        <f>IFERROR(IF(ISNUMBER(SEARCH("TẶNG",VLOOKUP(E97,'Dự thu chiết khấu'!$L$3:$AW$226,38,0))),"TẶNG",""),"")</f>
        <v/>
      </c>
      <c r="AC97" s="49">
        <f t="shared" si="12"/>
        <v>6027272.7272727247</v>
      </c>
      <c r="AD97" s="11">
        <f>IFERROR(VLOOKUP(E97,'Dự thu chiết khấu'!$L$3:$AM$226,28,0),0)</f>
        <v>0</v>
      </c>
      <c r="AE97" s="11">
        <f>IFERROR(VLOOKUP(E97,'Dự thu chiết khấu'!$L$3:$AN$226,29,0),0)</f>
        <v>0</v>
      </c>
      <c r="AF97" s="11">
        <f>IFERROR(VLOOKUP(E97,'Dự thu chiết khấu'!$L$3:$AO$226,30,0),0)</f>
        <v>5000000</v>
      </c>
    </row>
    <row r="98" spans="1:32">
      <c r="A98">
        <v>92</v>
      </c>
      <c r="B98" t="str">
        <f>IFERROR(INDEX('Dự thu chiết khấu'!$E:$E,MATCH(E98,'Dự thu chiết khấu'!$L:$L,0)),"")</f>
        <v>Trần Anh Vũ</v>
      </c>
      <c r="C98" s="51" t="str">
        <f>IFERROR(INDEX('Dự thu chiết khấu'!$F:$F,MATCH(E98,'Dự thu chiết khấu'!$L:$L,0)),"")</f>
        <v>TRẦN MINH THUẬN</v>
      </c>
      <c r="D98" s="4" t="str">
        <f>IFERROR(INDEX('Dự thu chiết khấu'!$H:$H,MATCH(E98,'Dự thu chiết khấu'!$L:$L,0)),"")</f>
        <v>VF 3</v>
      </c>
      <c r="E98" s="4" t="str">
        <f>'Dự thu chiết khấu'!L95</f>
        <v>RLNVBL9K6TT710655</v>
      </c>
      <c r="F98" s="5" t="s">
        <v>112</v>
      </c>
      <c r="G98" s="5" t="str" cm="1">
        <f t="array" ref="G98">IFERROR(INDEX('DT-GV'!$X$6:$X$213,MATCH(1,('DT-GV'!$H$6:$H$213=E98)*('DT-GV'!$R$6:$R$213&lt;&gt;0),0)),IFERROR(VLOOKUP(E98,'DT-GV'!$H$6:$X$213,17,0),""))</f>
        <v>BLKD</v>
      </c>
      <c r="H98" s="6" t="str">
        <f>VLOOKUP(E98,'Dự thu chiết khấu'!$L$3:$M$226,2,0)</f>
        <v>S11006</v>
      </c>
      <c r="I98">
        <v>1</v>
      </c>
      <c r="J98" s="11">
        <f>VLOOKUP(E98,'Dự thu chiết khấu'!$L$3:$P$226,5,0)</f>
        <v>302000000</v>
      </c>
      <c r="K98" s="12">
        <f t="shared" si="8"/>
        <v>18120000</v>
      </c>
      <c r="L98" s="12">
        <f t="shared" si="9"/>
        <v>0</v>
      </c>
      <c r="M98" s="13">
        <f>IFERROR(VLOOKUP(E98,'Dự thu chiết khấu'!$L$3:$R$226,7,0),0)</f>
        <v>0</v>
      </c>
      <c r="N98" s="14">
        <f>IFERROR(VLOOKUP(E98,'Dự thu chiết khấu'!$L$3:$S$226,8,0),0)</f>
        <v>0</v>
      </c>
      <c r="O98" s="11">
        <f>IF(IFERROR(VLOOKUP(E98,'Dự thu chiết khấu'!$L$3:$T$226,9,0),0)&gt;0,J98*$O$5,0)</f>
        <v>0</v>
      </c>
      <c r="P98" s="13">
        <f>IFERROR(VLOOKUP(E98,'Dự thu chiết khấu'!$L$3:$U$226,10,0),0)</f>
        <v>0</v>
      </c>
      <c r="Q98" s="12">
        <f>IFERROR(VLOOKUP(E98,'Dự thu chiết khấu'!$L$3:$V$226,11,0),0)</f>
        <v>0</v>
      </c>
      <c r="R98" s="12">
        <f>VLOOKUP($E98,'Dự thu chiết khấu'!$L$3:$W$226,12,0)</f>
        <v>0</v>
      </c>
      <c r="S98" s="12">
        <f t="shared" si="10"/>
        <v>258072727.27272725</v>
      </c>
      <c r="T98" s="11">
        <f t="shared" si="11"/>
        <v>0.27272725105285645</v>
      </c>
      <c r="U98" s="15">
        <f>SUMIFS('DT-GV'!$N$6:$N$213,'DT-GV'!$H$6:$H$213,E98,'DT-GV'!$R$6:$R$213,"&lt;&gt;0")</f>
        <v>258072727</v>
      </c>
      <c r="V98" s="48">
        <f>SUMIFS('DT-GV'!$N$6:$N$213,'DT-GV'!$H$6:$H$213,E98,'DT-GV'!$R$6:$R$213,0)</f>
        <v>0</v>
      </c>
      <c r="W98" s="15">
        <f>-SUMIFS('DT-GV'!$R$6:$R$213,'DT-GV'!$H$6:$H$213,E98)</f>
        <v>-263563636</v>
      </c>
      <c r="X98" s="11">
        <f>IFERROR(VLOOKUP($E98,'Dự thu chiết khấu'!$L$3:$AK$226,26,0)/1.1,0)</f>
        <v>15813818.18181818</v>
      </c>
      <c r="Y98" s="11">
        <f>IFERROR(VLOOKUP($E98,'Dự thu chiết khấu'!$L$3:$BE$226,46,0)/1.1,0)</f>
        <v>2580727.2727272725</v>
      </c>
      <c r="Z98" s="11">
        <f>-SUMIF('Lương năng suất'!$R$4:$R$208,E98,'Lương năng suất'!$AQ$4:$AQ$208)</f>
        <v>-8000000</v>
      </c>
      <c r="AA98" s="213" t="str">
        <f>IFERROR(IF(ISNUMBER(SEARCH("TẶNG",VLOOKUP(E98,'Dự thu chiết khấu'!$L$3:$AV$226,37,0))),"TẶNG",""),"")</f>
        <v/>
      </c>
      <c r="AB98" s="213" t="str">
        <f>IFERROR(IF(ISNUMBER(SEARCH("TẶNG",VLOOKUP(E98,'Dự thu chiết khấu'!$L$3:$AW$226,38,0))),"TẶNG",""),"")</f>
        <v>TẶNG</v>
      </c>
      <c r="AC98" s="49">
        <f t="shared" si="12"/>
        <v>4903636.4545454532</v>
      </c>
      <c r="AD98" s="11">
        <f>IFERROR(VLOOKUP(E98,'Dự thu chiết khấu'!$L$3:$AM$226,28,0),0)</f>
        <v>0</v>
      </c>
      <c r="AE98" s="11">
        <f>IFERROR(VLOOKUP(E98,'Dự thu chiết khấu'!$L$3:$AN$226,29,0),0)</f>
        <v>0</v>
      </c>
      <c r="AF98" s="11">
        <f>IFERROR(VLOOKUP(E98,'Dự thu chiết khấu'!$L$3:$AO$226,30,0),0)</f>
        <v>0</v>
      </c>
    </row>
    <row r="99" spans="1:32">
      <c r="A99" s="11">
        <v>93</v>
      </c>
      <c r="B99" t="str">
        <f>IFERROR(INDEX('Dự thu chiết khấu'!$E:$E,MATCH(E99,'Dự thu chiết khấu'!$L:$L,0)),"")</f>
        <v>Bùi Văn Quốc Trí</v>
      </c>
      <c r="C99" s="51" t="str">
        <f>IFERROR(INDEX('Dự thu chiết khấu'!$F:$F,MATCH(E99,'Dự thu chiết khấu'!$L:$L,0)),"")</f>
        <v>VÕ HOÀNG THÂN</v>
      </c>
      <c r="D99" s="4" t="str">
        <f>IFERROR(INDEX('Dự thu chiết khấu'!$H:$H,MATCH(E99,'Dự thu chiết khấu'!$L:$L,0)),"")</f>
        <v>VF 5</v>
      </c>
      <c r="E99" s="4" t="str">
        <f>'Dự thu chiết khấu'!L96</f>
        <v>RLNV5JSE3TH739954</v>
      </c>
      <c r="F99" s="5" t="s">
        <v>112</v>
      </c>
      <c r="G99" s="5" t="str" cm="1">
        <f t="array" ref="G99">IFERROR(INDEX('DT-GV'!$X$6:$X$213,MATCH(1,('DT-GV'!$H$6:$H$213=E99)*('DT-GV'!$R$6:$R$213&lt;&gt;0),0)),IFERROR(VLOOKUP(E99,'DT-GV'!$H$6:$X$213,17,0),""))</f>
        <v>BLKD</v>
      </c>
      <c r="H99" s="6" t="str">
        <f>VLOOKUP(E99,'Dự thu chiết khấu'!$L$3:$M$226,2,0)</f>
        <v>S11006</v>
      </c>
      <c r="I99">
        <v>1</v>
      </c>
      <c r="J99" s="11">
        <f>VLOOKUP(E99,'Dự thu chiết khấu'!$L$3:$P$226,5,0)</f>
        <v>529000000</v>
      </c>
      <c r="K99" s="12">
        <f t="shared" si="8"/>
        <v>31740000</v>
      </c>
      <c r="L99" s="12">
        <f t="shared" si="9"/>
        <v>0</v>
      </c>
      <c r="M99" s="13">
        <f>IFERROR(VLOOKUP(E99,'Dự thu chiết khấu'!$L$3:$R$226,7,0),0)</f>
        <v>0</v>
      </c>
      <c r="N99" s="14">
        <f>IFERROR(VLOOKUP(E99,'Dự thu chiết khấu'!$L$3:$S$226,8,0),0)</f>
        <v>0</v>
      </c>
      <c r="O99" s="11">
        <f>IF(IFERROR(VLOOKUP(E99,'Dự thu chiết khấu'!$L$3:$T$226,9,0),0)&gt;0,J99*$O$5,0)</f>
        <v>0</v>
      </c>
      <c r="P99" s="13">
        <f>IFERROR(VLOOKUP(E99,'Dự thu chiết khấu'!$L$3:$U$226,10,0),0)</f>
        <v>0</v>
      </c>
      <c r="Q99" s="12">
        <f>IFERROR(VLOOKUP(E99,'Dự thu chiết khấu'!$L$3:$V$226,11,0),0)</f>
        <v>0</v>
      </c>
      <c r="R99" s="12">
        <f>VLOOKUP($E99,'Dự thu chiết khấu'!$L$3:$W$226,12,0)</f>
        <v>10000000</v>
      </c>
      <c r="S99" s="12">
        <f t="shared" si="10"/>
        <v>442963636.36363631</v>
      </c>
      <c r="T99" s="11">
        <f t="shared" si="11"/>
        <v>0.363636314868927</v>
      </c>
      <c r="U99" s="15">
        <f>SUMIFS('DT-GV'!$N$6:$N$213,'DT-GV'!$H$6:$H$213,E99,'DT-GV'!$R$6:$R$213,"&lt;&gt;0")</f>
        <v>442963636</v>
      </c>
      <c r="V99" s="48">
        <f>SUMIFS('DT-GV'!$N$6:$N$213,'DT-GV'!$H$6:$H$213,E99,'DT-GV'!$R$6:$R$213,0)</f>
        <v>0</v>
      </c>
      <c r="W99" s="15">
        <f>-SUMIFS('DT-GV'!$R$6:$R$213,'DT-GV'!$H$6:$H$213,E99)</f>
        <v>-461672727</v>
      </c>
      <c r="X99" s="11">
        <f>IFERROR(VLOOKUP($E99,'Dự thu chiết khấu'!$L$3:$AK$226,26,0)/1.1,0)</f>
        <v>27700363.636363633</v>
      </c>
      <c r="Y99" s="11">
        <f>IFERROR(VLOOKUP($E99,'Dự thu chiết khấu'!$L$3:$BE$226,46,0)/1.1,0)</f>
        <v>4520545.4545454541</v>
      </c>
      <c r="Z99" s="11">
        <f>-SUMIF('Lương năng suất'!$R$4:$R$208,E99,'Lương năng suất'!$AQ$4:$AQ$208)</f>
        <v>-4800000</v>
      </c>
      <c r="AA99" s="213" t="str">
        <f>IFERROR(IF(ISNUMBER(SEARCH("TẶNG",VLOOKUP(E99,'Dự thu chiết khấu'!$L$3:$AV$226,37,0))),"TẶNG",""),"")</f>
        <v/>
      </c>
      <c r="AB99" s="213" t="str">
        <f>IFERROR(IF(ISNUMBER(SEARCH("TẶNG",VLOOKUP(E99,'Dự thu chiết khấu'!$L$3:$AW$226,38,0))),"TẶNG",""),"")</f>
        <v/>
      </c>
      <c r="AC99" s="49">
        <f t="shared" si="12"/>
        <v>8711818.0909090862</v>
      </c>
      <c r="AD99" s="11">
        <f>IFERROR(VLOOKUP(E99,'Dự thu chiết khấu'!$L$3:$AM$226,28,0),0)</f>
        <v>0</v>
      </c>
      <c r="AE99" s="11">
        <f>IFERROR(VLOOKUP(E99,'Dự thu chiết khấu'!$L$3:$AN$226,29,0),0)</f>
        <v>0</v>
      </c>
      <c r="AF99" s="11">
        <f>IFERROR(VLOOKUP(E99,'Dự thu chiết khấu'!$L$3:$AO$226,30,0),0)</f>
        <v>0</v>
      </c>
    </row>
    <row r="100" spans="1:32">
      <c r="A100">
        <v>94</v>
      </c>
      <c r="B100" t="str">
        <f>IFERROR(INDEX('Dự thu chiết khấu'!$E:$E,MATCH(E100,'Dự thu chiết khấu'!$L:$L,0)),"")</f>
        <v>Trương Hoàng Khả</v>
      </c>
      <c r="C100" s="51" t="str">
        <f>IFERROR(INDEX('Dự thu chiết khấu'!$F:$F,MATCH(E100,'Dự thu chiết khấu'!$L:$L,0)),"")</f>
        <v>TRẦN VĂN THUẬN</v>
      </c>
      <c r="D100" s="4" t="str">
        <f>IFERROR(INDEX('Dự thu chiết khấu'!$H:$H,MATCH(E100,'Dự thu chiết khấu'!$L:$L,0)),"")</f>
        <v>LIMO GREEN</v>
      </c>
      <c r="E100" s="4" t="str">
        <f>'Dự thu chiết khấu'!L97</f>
        <v>RLLVFPNT7TH702991</v>
      </c>
      <c r="F100" s="5" t="s">
        <v>112</v>
      </c>
      <c r="G100" s="5" t="str" cm="1">
        <f t="array" ref="G100">IFERROR(INDEX('DT-GV'!$X$6:$X$213,MATCH(1,('DT-GV'!$H$6:$H$213=E100)*('DT-GV'!$R$6:$R$213&lt;&gt;0),0)),IFERROR(VLOOKUP(E100,'DT-GV'!$H$6:$X$213,17,0),""))</f>
        <v>BLKD</v>
      </c>
      <c r="H100" s="6" t="str">
        <f>VLOOKUP(E100,'Dự thu chiết khấu'!$L$3:$M$226,2,0)</f>
        <v>S11006</v>
      </c>
      <c r="I100">
        <v>1</v>
      </c>
      <c r="J100" s="11">
        <f>VLOOKUP(E100,'Dự thu chiết khấu'!$L$3:$P$226,5,0)</f>
        <v>749000000</v>
      </c>
      <c r="K100" s="12">
        <f t="shared" si="8"/>
        <v>44940000</v>
      </c>
      <c r="L100" s="12">
        <f t="shared" si="9"/>
        <v>0</v>
      </c>
      <c r="M100" s="13">
        <f>IFERROR(VLOOKUP(E100,'Dự thu chiết khấu'!$L$3:$R$226,7,0),0)</f>
        <v>0</v>
      </c>
      <c r="N100" s="14">
        <f>IFERROR(VLOOKUP(E100,'Dự thu chiết khấu'!$L$3:$S$226,8,0),0)</f>
        <v>0</v>
      </c>
      <c r="O100" s="11">
        <f>IF(IFERROR(VLOOKUP(E100,'Dự thu chiết khấu'!$L$3:$T$226,9,0),0)&gt;0,J100*$O$5,0)</f>
        <v>0</v>
      </c>
      <c r="P100" s="13">
        <f>IFERROR(VLOOKUP(E100,'Dự thu chiết khấu'!$L$3:$U$226,10,0),0)</f>
        <v>0</v>
      </c>
      <c r="Q100" s="12">
        <f>IFERROR(VLOOKUP(E100,'Dự thu chiết khấu'!$L$3:$V$226,11,0),0)</f>
        <v>0</v>
      </c>
      <c r="R100" s="12">
        <f>VLOOKUP($E100,'Dự thu chiết khấu'!$L$3:$W$226,12,0)</f>
        <v>0</v>
      </c>
      <c r="S100" s="12">
        <f t="shared" si="10"/>
        <v>640054545.45454538</v>
      </c>
      <c r="T100" s="11">
        <f t="shared" si="11"/>
        <v>0.45454537868499756</v>
      </c>
      <c r="U100" s="15">
        <f>SUMIFS('DT-GV'!$N$6:$N$213,'DT-GV'!$H$6:$H$213,E100,'DT-GV'!$R$6:$R$213,"&lt;&gt;0")</f>
        <v>640054545</v>
      </c>
      <c r="V100" s="48">
        <f>SUMIFS('DT-GV'!$N$6:$N$213,'DT-GV'!$H$6:$H$213,E100,'DT-GV'!$R$6:$R$213,0)</f>
        <v>0</v>
      </c>
      <c r="W100" s="15">
        <f>-SUMIFS('DT-GV'!$R$6:$R$213,'DT-GV'!$H$6:$H$213,E100)</f>
        <v>-653672727</v>
      </c>
      <c r="X100" s="11">
        <f>IFERROR(VLOOKUP($E100,'Dự thu chiết khấu'!$L$3:$AK$226,26,0)/1.1,0)</f>
        <v>39220363.636363633</v>
      </c>
      <c r="Y100" s="11">
        <f>IFERROR(VLOOKUP($E100,'Dự thu chiết khấu'!$L$3:$BE$226,46,0)/1.1,0)</f>
        <v>0</v>
      </c>
      <c r="Z100" s="11">
        <f>-SUMIF('Lương năng suất'!$R$4:$R$208,E100,'Lương năng suất'!$AQ$4:$AQ$208)</f>
        <v>-14400000</v>
      </c>
      <c r="AA100" s="213" t="str">
        <f>IFERROR(IF(ISNUMBER(SEARCH("TẶNG",VLOOKUP(E100,'Dự thu chiết khấu'!$L$3:$AV$226,37,0))),"TẶNG",""),"")</f>
        <v/>
      </c>
      <c r="AB100" s="213" t="str">
        <f>IFERROR(IF(ISNUMBER(SEARCH("TẶNG",VLOOKUP(E100,'Dự thu chiết khấu'!$L$3:$AW$226,38,0))),"TẶNG",""),"")</f>
        <v/>
      </c>
      <c r="AC100" s="49">
        <f t="shared" si="12"/>
        <v>11202181.636363633</v>
      </c>
      <c r="AD100" s="11">
        <f>IFERROR(VLOOKUP(E100,'Dự thu chiết khấu'!$L$3:$AM$226,28,0),0)</f>
        <v>0</v>
      </c>
      <c r="AE100" s="11">
        <f>IFERROR(VLOOKUP(E100,'Dự thu chiết khấu'!$L$3:$AN$226,29,0),0)</f>
        <v>0</v>
      </c>
      <c r="AF100" s="11">
        <f>IFERROR(VLOOKUP(E100,'Dự thu chiết khấu'!$L$3:$AO$226,30,0),0)</f>
        <v>10000000</v>
      </c>
    </row>
    <row r="101" spans="1:32">
      <c r="A101" s="11">
        <v>95</v>
      </c>
      <c r="B101" t="str">
        <f>IFERROR(INDEX('Dự thu chiết khấu'!$E:$E,MATCH(E101,'Dự thu chiết khấu'!$L:$L,0)),"")</f>
        <v>Bùi Văn Quốc Trí</v>
      </c>
      <c r="C101" s="51" t="str">
        <f>IFERROR(INDEX('Dự thu chiết khấu'!$F:$F,MATCH(E101,'Dự thu chiết khấu'!$L:$L,0)),"")</f>
        <v>ĐỒNG MINH THÔNG</v>
      </c>
      <c r="D101" s="4" t="str">
        <f>IFERROR(INDEX('Dự thu chiết khấu'!$H:$H,MATCH(E101,'Dự thu chiết khấu'!$L:$L,0)),"")</f>
        <v>MPV 7</v>
      </c>
      <c r="E101" s="4" t="str">
        <f>'Dự thu chiết khấu'!L98</f>
        <v>RLLVFPTT8TH723318</v>
      </c>
      <c r="F101" s="5" t="s">
        <v>112</v>
      </c>
      <c r="G101" s="5" t="str" cm="1">
        <f t="array" ref="G101">IFERROR(INDEX('DT-GV'!$X$6:$X$213,MATCH(1,('DT-GV'!$H$6:$H$213=E101)*('DT-GV'!$R$6:$R$213&lt;&gt;0),0)),IFERROR(VLOOKUP(E101,'DT-GV'!$H$6:$X$213,17,0),""))</f>
        <v>BLKD</v>
      </c>
      <c r="H101" s="6" t="str">
        <f>VLOOKUP(E101,'Dự thu chiết khấu'!$L$3:$M$226,2,0)</f>
        <v>S11006</v>
      </c>
      <c r="I101">
        <v>1</v>
      </c>
      <c r="J101" s="11">
        <f>VLOOKUP(E101,'Dự thu chiết khấu'!$L$3:$P$226,5,0)</f>
        <v>819000000</v>
      </c>
      <c r="K101" s="12">
        <f t="shared" si="8"/>
        <v>0</v>
      </c>
      <c r="L101" s="12">
        <f t="shared" si="9"/>
        <v>0</v>
      </c>
      <c r="M101" s="13">
        <f>IFERROR(VLOOKUP(E101,'Dự thu chiết khấu'!$L$3:$R$226,7,0),0)</f>
        <v>7.0000000000000007E-2</v>
      </c>
      <c r="N101" s="14">
        <f>IFERROR(VLOOKUP(E101,'Dự thu chiết khấu'!$L$3:$S$226,8,0),0)</f>
        <v>0</v>
      </c>
      <c r="O101" s="11">
        <f>IF(IFERROR(VLOOKUP(E101,'Dự thu chiết khấu'!$L$3:$T$226,9,0),0)&gt;0,J101*$O$5,0)</f>
        <v>0</v>
      </c>
      <c r="P101" s="13">
        <f>IFERROR(VLOOKUP(E101,'Dự thu chiết khấu'!$L$3:$U$226,10,0),0)</f>
        <v>0</v>
      </c>
      <c r="Q101" s="12">
        <f>IFERROR(VLOOKUP(E101,'Dự thu chiết khấu'!$L$3:$V$226,11,0),0)</f>
        <v>0</v>
      </c>
      <c r="R101" s="12">
        <f>VLOOKUP($E101,'Dự thu chiết khấu'!$L$3:$W$226,12,0)</f>
        <v>0</v>
      </c>
      <c r="S101" s="12">
        <f t="shared" si="10"/>
        <v>744545454.5454545</v>
      </c>
      <c r="T101" s="11">
        <f t="shared" si="11"/>
        <v>-0.45454549789428711</v>
      </c>
      <c r="U101" s="15">
        <f>SUMIFS('DT-GV'!$N$6:$N$213,'DT-GV'!$H$6:$H$213,E101,'DT-GV'!$R$6:$R$213,"&lt;&gt;0")</f>
        <v>744545455</v>
      </c>
      <c r="V101" s="48">
        <f>SUMIFS('DT-GV'!$N$6:$N$213,'DT-GV'!$H$6:$H$213,E101,'DT-GV'!$R$6:$R$213,0)</f>
        <v>0</v>
      </c>
      <c r="W101" s="15">
        <f>-SUMIFS('DT-GV'!$R$6:$R$213,'DT-GV'!$H$6:$H$213,E101)</f>
        <v>-714763636</v>
      </c>
      <c r="X101" s="11">
        <f>IFERROR(VLOOKUP($E101,'Dự thu chiết khấu'!$L$3:$AK$226,26,0)/1.1,0)</f>
        <v>0</v>
      </c>
      <c r="Y101" s="11">
        <f>IFERROR(VLOOKUP($E101,'Dự thu chiết khấu'!$L$3:$BE$226,46,0)/1.1,0)</f>
        <v>0</v>
      </c>
      <c r="Z101" s="11">
        <f>-SUMIF('Lương năng suất'!$R$4:$R$208,E101,'Lương năng suất'!$AQ$4:$AQ$208)</f>
        <v>-12000000</v>
      </c>
      <c r="AA101" s="213" t="str">
        <f>IFERROR(IF(ISNUMBER(SEARCH("TẶNG",VLOOKUP(E101,'Dự thu chiết khấu'!$L$3:$AV$226,37,0))),"TẶNG",""),"")</f>
        <v>TẶNG</v>
      </c>
      <c r="AB101" s="213" t="str">
        <f>IFERROR(IF(ISNUMBER(SEARCH("TẶNG",VLOOKUP(E101,'Dự thu chiết khấu'!$L$3:$AW$226,38,0))),"TẶNG",""),"")</f>
        <v/>
      </c>
      <c r="AC101" s="49">
        <f t="shared" si="12"/>
        <v>17781819</v>
      </c>
      <c r="AD101" s="11">
        <f>IFERROR(VLOOKUP(E101,'Dự thu chiết khấu'!$L$3:$AM$226,28,0),0)</f>
        <v>15000000</v>
      </c>
      <c r="AE101" s="11">
        <f>IFERROR(VLOOKUP(E101,'Dự thu chiết khấu'!$L$3:$AN$226,29,0),0)</f>
        <v>0</v>
      </c>
      <c r="AF101" s="11">
        <f>IFERROR(VLOOKUP(E101,'Dự thu chiết khấu'!$L$3:$AO$226,30,0),0)</f>
        <v>10000000</v>
      </c>
    </row>
    <row r="102" spans="1:32">
      <c r="A102">
        <v>96</v>
      </c>
      <c r="B102" t="str">
        <f>IFERROR(INDEX('Dự thu chiết khấu'!$E:$E,MATCH(E102,'Dự thu chiết khấu'!$L:$L,0)),"")</f>
        <v>Bùi Minh Trung</v>
      </c>
      <c r="C102" s="51" t="str">
        <f>IFERROR(INDEX('Dự thu chiết khấu'!$F:$F,MATCH(E102,'Dự thu chiết khấu'!$L:$L,0)),"")</f>
        <v>HOÀNG NGUYỆT ÁNH</v>
      </c>
      <c r="D102" s="4" t="str">
        <f>IFERROR(INDEX('Dự thu chiết khấu'!$H:$H,MATCH(E102,'Dự thu chiết khấu'!$L:$L,0)),"")</f>
        <v>VF 5</v>
      </c>
      <c r="E102" s="4" t="str">
        <f>'Dự thu chiết khấu'!L99</f>
        <v>RLNV5JSE3TH717324</v>
      </c>
      <c r="F102" s="5" t="s">
        <v>112</v>
      </c>
      <c r="G102" s="5" t="str" cm="1">
        <f t="array" ref="G102">IFERROR(INDEX('DT-GV'!$X$6:$X$213,MATCH(1,('DT-GV'!$H$6:$H$213=E102)*('DT-GV'!$R$6:$R$213&lt;&gt;0),0)),IFERROR(VLOOKUP(E102,'DT-GV'!$H$6:$X$213,17,0),""))</f>
        <v>BLKD</v>
      </c>
      <c r="H102" s="8" t="str">
        <f>VLOOKUP(E102,'Dự thu chiết khấu'!$L$3:$M$226,2,0)</f>
        <v>S11006</v>
      </c>
      <c r="I102">
        <v>1</v>
      </c>
      <c r="J102" s="11">
        <f>VLOOKUP(E102,'Dự thu chiết khấu'!$L$3:$P$226,5,0)</f>
        <v>529000000</v>
      </c>
      <c r="K102" s="12">
        <f t="shared" si="8"/>
        <v>0</v>
      </c>
      <c r="L102" s="12">
        <f t="shared" si="9"/>
        <v>0</v>
      </c>
      <c r="M102" s="13">
        <f>IFERROR(VLOOKUP(E102,'Dự thu chiết khấu'!$L$3:$R$226,7,0),0)</f>
        <v>7.0000000000000007E-2</v>
      </c>
      <c r="N102" s="14">
        <f>IFERROR(VLOOKUP(E102,'Dự thu chiết khấu'!$L$3:$S$226,8,0),0)</f>
        <v>0</v>
      </c>
      <c r="O102" s="11">
        <f>IF(IFERROR(VLOOKUP(E102,'Dự thu chiết khấu'!$L$3:$T$226,9,0),0)&gt;0,J102*$O$5,0)</f>
        <v>15870000</v>
      </c>
      <c r="P102" s="13">
        <f>IFERROR(VLOOKUP(E102,'Dự thu chiết khấu'!$L$3:$U$226,10,0),0)</f>
        <v>0</v>
      </c>
      <c r="Q102" s="12">
        <f>IFERROR(VLOOKUP(E102,'Dự thu chiết khấu'!$L$3:$V$226,11,0),0)</f>
        <v>0</v>
      </c>
      <c r="R102" s="12">
        <f>VLOOKUP($E102,'Dự thu chiết khấu'!$L$3:$W$226,12,0)</f>
        <v>10000000</v>
      </c>
      <c r="S102" s="12">
        <f t="shared" si="10"/>
        <v>457390909.09090906</v>
      </c>
      <c r="T102" s="11">
        <f t="shared" si="11"/>
        <v>9.0909063816070557E-2</v>
      </c>
      <c r="U102" s="15">
        <f>SUMIFS('DT-GV'!$N$6:$N$213,'DT-GV'!$H$6:$H$213,E102,'DT-GV'!$R$6:$R$213,"&lt;&gt;0")</f>
        <v>457390909</v>
      </c>
      <c r="V102" s="48">
        <f>SUMIFS('DT-GV'!$N$6:$N$213,'DT-GV'!$H$6:$H$213,E102,'DT-GV'!$R$6:$R$213,0)</f>
        <v>0</v>
      </c>
      <c r="W102" s="15">
        <f>-SUMIFS('DT-GV'!$R$6:$R$213,'DT-GV'!$H$6:$H$213,E102)</f>
        <v>-461672727</v>
      </c>
      <c r="X102" s="11">
        <f>IFERROR(VLOOKUP($E102,'Dự thu chiết khấu'!$L$3:$AK$226,26,0)/1.1,0)</f>
        <v>13850181.818181816</v>
      </c>
      <c r="Y102" s="11">
        <f>IFERROR(VLOOKUP($E102,'Dự thu chiết khấu'!$L$3:$BE$226,46,0)/1.1,0)</f>
        <v>0</v>
      </c>
      <c r="Z102" s="11">
        <f>-SUMIF('Lương năng suất'!$R$4:$R$208,E102,'Lương năng suất'!$AQ$4:$AQ$208)</f>
        <v>-3600000</v>
      </c>
      <c r="AA102" s="213" t="str">
        <f>IFERROR(IF(ISNUMBER(SEARCH("TẶNG",VLOOKUP(E102,'Dự thu chiết khấu'!$L$3:$AV$226,37,0))),"TẶNG",""),"")</f>
        <v/>
      </c>
      <c r="AB102" s="213" t="str">
        <f>IFERROR(IF(ISNUMBER(SEARCH("TẶNG",VLOOKUP(E102,'Dự thu chiết khấu'!$L$3:$AW$226,38,0))),"TẶNG",""),"")</f>
        <v/>
      </c>
      <c r="AC102" s="49">
        <f t="shared" si="12"/>
        <v>5968363.8181818165</v>
      </c>
      <c r="AD102" s="11">
        <f>IFERROR(VLOOKUP(E102,'Dự thu chiết khấu'!$L$3:$AM$226,28,0),0)</f>
        <v>0</v>
      </c>
      <c r="AE102" s="11">
        <f>IFERROR(VLOOKUP(E102,'Dự thu chiết khấu'!$L$3:$AN$226,29,0),0)</f>
        <v>0</v>
      </c>
      <c r="AF102" s="11">
        <f>IFERROR(VLOOKUP(E102,'Dự thu chiết khấu'!$L$3:$AO$226,30,0),0)</f>
        <v>7000000</v>
      </c>
    </row>
    <row r="103" spans="1:32">
      <c r="A103" s="11">
        <v>97</v>
      </c>
      <c r="B103" t="str">
        <f>IFERROR(INDEX('Dự thu chiết khấu'!$E:$E,MATCH(E103,'Dự thu chiết khấu'!$L:$L,0)),"")</f>
        <v>Nguyễn Thị Bảo Trân</v>
      </c>
      <c r="C103" s="51" t="str">
        <f>IFERROR(INDEX('Dự thu chiết khấu'!$F:$F,MATCH(E103,'Dự thu chiết khấu'!$L:$L,0)),"")</f>
        <v>NGUYỄN QUỐC NAM</v>
      </c>
      <c r="D103" s="4" t="str">
        <f>IFERROR(INDEX('Dự thu chiết khấu'!$H:$H,MATCH(E103,'Dự thu chiết khấu'!$L:$L,0)),"")</f>
        <v>VF 3</v>
      </c>
      <c r="E103" s="4" t="str">
        <f>'Dự thu chiết khấu'!L100</f>
        <v>RLNVBL9K7TT709725</v>
      </c>
      <c r="F103" s="5" t="s">
        <v>112</v>
      </c>
      <c r="G103" s="5" t="str" cm="1">
        <f t="array" ref="G103">IFERROR(INDEX('DT-GV'!$X$6:$X$213,MATCH(1,('DT-GV'!$H$6:$H$213=E103)*('DT-GV'!$R$6:$R$213&lt;&gt;0),0)),IFERROR(VLOOKUP(E103,'DT-GV'!$H$6:$X$213,17,0),""))</f>
        <v>BLKD</v>
      </c>
      <c r="H103" s="6" t="str">
        <f>VLOOKUP(E103,'Dự thu chiết khấu'!$L$3:$M$226,2,0)</f>
        <v>S11006</v>
      </c>
      <c r="I103">
        <v>1</v>
      </c>
      <c r="J103" s="11">
        <f>VLOOKUP(E103,'Dự thu chiết khấu'!$L$3:$P$226,5,0)</f>
        <v>315000000</v>
      </c>
      <c r="K103" s="12">
        <f t="shared" ref="K103:K134" si="13">IF(M103&gt;0,0,IF(OR(LEFT(SUBSTITUTE(UPPER(D103)," ",""),3)="VF8",LEFT(SUBSTITUTE(UPPER(D103)," ",""),3)="VF9"),0,J103*$K$5))</f>
        <v>18900000</v>
      </c>
      <c r="L103" s="12">
        <f t="shared" ref="L103:L134" si="14">IF(M103&gt;0,0,IF(OR(LEFT(SUBSTITUTE(UPPER(D103)," ",""),3)="VF8",LEFT(SUBSTITUTE(UPPER(D103)," ",""),3)="VF9"),J103*$L$5,0))</f>
        <v>0</v>
      </c>
      <c r="M103" s="13">
        <f>IFERROR(VLOOKUP(E103,'Dự thu chiết khấu'!$L$3:$R$226,7,0),0)</f>
        <v>0</v>
      </c>
      <c r="N103" s="14">
        <f>IFERROR(VLOOKUP(E103,'Dự thu chiết khấu'!$L$3:$S$226,8,0),0)</f>
        <v>0</v>
      </c>
      <c r="O103" s="11">
        <f>IF(IFERROR(VLOOKUP(E103,'Dự thu chiết khấu'!$L$3:$T$226,9,0),0)&gt;0,J103*$O$5,0)</f>
        <v>0</v>
      </c>
      <c r="P103" s="13">
        <f>IFERROR(VLOOKUP(E103,'Dự thu chiết khấu'!$L$3:$U$226,10,0),0)</f>
        <v>0</v>
      </c>
      <c r="Q103" s="12">
        <f>IFERROR(VLOOKUP(E103,'Dự thu chiết khấu'!$L$3:$V$226,11,0),0)</f>
        <v>0</v>
      </c>
      <c r="R103" s="12">
        <f>VLOOKUP($E103,'Dự thu chiết khấu'!$L$3:$W$226,12,0)</f>
        <v>0</v>
      </c>
      <c r="S103" s="12">
        <f t="shared" si="10"/>
        <v>269181818.18181819</v>
      </c>
      <c r="T103" s="11">
        <f t="shared" si="11"/>
        <v>0.18181818723678589</v>
      </c>
      <c r="U103" s="15">
        <f>SUMIFS('DT-GV'!$N$6:$N$213,'DT-GV'!$H$6:$H$213,E103,'DT-GV'!$R$6:$R$213,"&lt;&gt;0")</f>
        <v>269181818</v>
      </c>
      <c r="V103" s="48">
        <f>SUMIFS('DT-GV'!$N$6:$N$213,'DT-GV'!$H$6:$H$213,E103,'DT-GV'!$R$6:$R$213,0)</f>
        <v>0</v>
      </c>
      <c r="W103" s="15">
        <f>-SUMIFS('DT-GV'!$R$6:$R$213,'DT-GV'!$H$6:$H$213,E103)</f>
        <v>-274909091</v>
      </c>
      <c r="X103" s="11">
        <f>IFERROR(VLOOKUP($E103,'Dự thu chiết khấu'!$L$3:$AK$226,26,0)/1.1,0)</f>
        <v>16494545.454545453</v>
      </c>
      <c r="Y103" s="11">
        <f>IFERROR(VLOOKUP($E103,'Dự thu chiết khấu'!$L$3:$BE$226,46,0)/1.1,0)</f>
        <v>0</v>
      </c>
      <c r="Z103" s="11">
        <f>-SUMIF('Lương năng suất'!$R$4:$R$208,E103,'Lương năng suất'!$AQ$4:$AQ$208)</f>
        <v>-5100000</v>
      </c>
      <c r="AA103" s="213" t="str">
        <f>IFERROR(IF(ISNUMBER(SEARCH("TẶNG",VLOOKUP(E103,'Dự thu chiết khấu'!$L$3:$AV$226,37,0))),"TẶNG",""),"")</f>
        <v/>
      </c>
      <c r="AB103" s="213" t="str">
        <f>IFERROR(IF(ISNUMBER(SEARCH("TẶNG",VLOOKUP(E103,'Dự thu chiết khấu'!$L$3:$AW$226,38,0))),"TẶNG",""),"")</f>
        <v/>
      </c>
      <c r="AC103" s="49">
        <f t="shared" si="12"/>
        <v>5667272.4545454532</v>
      </c>
      <c r="AD103" s="11">
        <f>IFERROR(VLOOKUP(E103,'Dự thu chiết khấu'!$L$3:$AM$226,28,0),0)</f>
        <v>0</v>
      </c>
      <c r="AE103" s="11">
        <f>IFERROR(VLOOKUP(E103,'Dự thu chiết khấu'!$L$3:$AN$226,29,0),0)</f>
        <v>0</v>
      </c>
      <c r="AF103" s="11">
        <f>IFERROR(VLOOKUP(E103,'Dự thu chiết khấu'!$L$3:$AO$226,30,0),0)</f>
        <v>0</v>
      </c>
    </row>
    <row r="104" spans="1:32" ht="23">
      <c r="A104">
        <v>98</v>
      </c>
      <c r="B104" t="str">
        <f>IFERROR(INDEX('Dự thu chiết khấu'!$E:$E,MATCH(E104,'Dự thu chiết khấu'!$L:$L,0)),"")</f>
        <v>Nguyễn Thị Bảo Trân</v>
      </c>
      <c r="C104" s="51" t="str">
        <f>IFERROR(INDEX('Dự thu chiết khấu'!$F:$F,MATCH(E104,'Dự thu chiết khấu'!$L:$L,0)),"")</f>
        <v>NGUYỄN BÌNH PHƯƠNG HOÀNG LUẬN</v>
      </c>
      <c r="D104" s="4" t="str">
        <f>IFERROR(INDEX('Dự thu chiết khấu'!$H:$H,MATCH(E104,'Dự thu chiết khấu'!$L:$L,0)),"")</f>
        <v>EC VAN</v>
      </c>
      <c r="E104" s="4" t="str">
        <f>'Dự thu chiết khấu'!L101</f>
        <v>RNXVGRPK7TT712466</v>
      </c>
      <c r="F104" s="5" t="s">
        <v>112</v>
      </c>
      <c r="G104" s="5" t="str" cm="1">
        <f t="array" ref="G104">IFERROR(INDEX('DT-GV'!$X$6:$X$213,MATCH(1,('DT-GV'!$H$6:$H$213=E104)*('DT-GV'!$R$6:$R$213&lt;&gt;0),0)),IFERROR(VLOOKUP(E104,'DT-GV'!$H$6:$X$213,17,0),""))</f>
        <v>BLKD</v>
      </c>
      <c r="H104" s="6" t="str">
        <f>VLOOKUP(E104,'Dự thu chiết khấu'!$L$3:$M$226,2,0)</f>
        <v>S11006</v>
      </c>
      <c r="I104">
        <v>1</v>
      </c>
      <c r="J104" s="11">
        <f>VLOOKUP(E104,'Dự thu chiết khấu'!$L$3:$P$226,5,0)</f>
        <v>305000000</v>
      </c>
      <c r="K104" s="12">
        <f t="shared" si="13"/>
        <v>18300000</v>
      </c>
      <c r="L104" s="12">
        <f t="shared" si="14"/>
        <v>0</v>
      </c>
      <c r="M104" s="13">
        <f>IFERROR(VLOOKUP(E104,'Dự thu chiết khấu'!$L$3:$R$226,7,0),0)</f>
        <v>0</v>
      </c>
      <c r="N104" s="14">
        <f>IFERROR(VLOOKUP(E104,'Dự thu chiết khấu'!$L$3:$S$226,8,0),0)</f>
        <v>0</v>
      </c>
      <c r="O104" s="11">
        <f>IF(IFERROR(VLOOKUP(E104,'Dự thu chiết khấu'!$L$3:$T$226,9,0),0)&gt;0,J104*$O$5,0)</f>
        <v>0</v>
      </c>
      <c r="P104" s="13">
        <f>IFERROR(VLOOKUP(E104,'Dự thu chiết khấu'!$L$3:$U$226,10,0),0)</f>
        <v>0</v>
      </c>
      <c r="Q104" s="12">
        <f>IFERROR(VLOOKUP(E104,'Dự thu chiết khấu'!$L$3:$V$226,11,0),0)</f>
        <v>0</v>
      </c>
      <c r="R104" s="12">
        <f>VLOOKUP($E104,'Dự thu chiết khấu'!$L$3:$W$226,12,0)</f>
        <v>0</v>
      </c>
      <c r="S104" s="12">
        <f t="shared" si="10"/>
        <v>260636363.63636363</v>
      </c>
      <c r="T104" s="11">
        <f t="shared" si="11"/>
        <v>-0.36363637447357178</v>
      </c>
      <c r="U104" s="15">
        <f>SUMIFS('DT-GV'!$N$6:$N$213,'DT-GV'!$H$6:$H$213,E104,'DT-GV'!$R$6:$R$213,"&lt;&gt;0")</f>
        <v>260636364</v>
      </c>
      <c r="V104" s="48">
        <f>SUMIFS('DT-GV'!$N$6:$N$213,'DT-GV'!$H$6:$H$213,E104,'DT-GV'!$R$6:$R$213,0)</f>
        <v>0</v>
      </c>
      <c r="W104" s="15">
        <f>-SUMIFS('DT-GV'!$R$6:$R$213,'DT-GV'!$H$6:$H$213,E104)</f>
        <v>-266181818</v>
      </c>
      <c r="X104" s="11">
        <f>IFERROR(VLOOKUP($E104,'Dự thu chiết khấu'!$L$3:$AK$226,26,0)/1.1,0)</f>
        <v>15970909.09090909</v>
      </c>
      <c r="Y104" s="11">
        <f>IFERROR(VLOOKUP($E104,'Dự thu chiết khấu'!$L$3:$BE$226,46,0)/1.1,0)</f>
        <v>0</v>
      </c>
      <c r="Z104" s="11">
        <f>-SUMIF('Lương năng suất'!$R$4:$R$208,E104,'Lương năng suất'!$AQ$4:$AQ$208)</f>
        <v>-4500000</v>
      </c>
      <c r="AA104" s="213" t="str">
        <f>IFERROR(IF(ISNUMBER(SEARCH("TẶNG",VLOOKUP(E104,'Dự thu chiết khấu'!$L$3:$AV$226,37,0))),"TẶNG",""),"")</f>
        <v/>
      </c>
      <c r="AB104" s="213" t="str">
        <f>IFERROR(IF(ISNUMBER(SEARCH("TẶNG",VLOOKUP(E104,'Dự thu chiết khấu'!$L$3:$AW$226,38,0))),"TẶNG",""),"")</f>
        <v/>
      </c>
      <c r="AC104" s="49">
        <f t="shared" si="12"/>
        <v>5925455.0909090899</v>
      </c>
      <c r="AD104" s="11">
        <f>IFERROR(VLOOKUP(E104,'Dự thu chiết khấu'!$L$3:$AM$226,28,0),0)</f>
        <v>0</v>
      </c>
      <c r="AE104" s="11">
        <f>IFERROR(VLOOKUP(E104,'Dự thu chiết khấu'!$L$3:$AN$226,29,0),0)</f>
        <v>0</v>
      </c>
      <c r="AF104" s="11">
        <f>IFERROR(VLOOKUP(E104,'Dự thu chiết khấu'!$L$3:$AO$226,30,0),0)</f>
        <v>0</v>
      </c>
    </row>
    <row r="105" spans="1:32">
      <c r="A105" s="11">
        <v>99</v>
      </c>
      <c r="B105" t="str">
        <f>IFERROR(INDEX('Dự thu chiết khấu'!$E:$E,MATCH(E105,'Dự thu chiết khấu'!$L:$L,0)),"")</f>
        <v>Bùi Minh Trung</v>
      </c>
      <c r="C105" s="51" t="str">
        <f>IFERROR(INDEX('Dự thu chiết khấu'!$F:$F,MATCH(E105,'Dự thu chiết khấu'!$L:$L,0)),"")</f>
        <v>NGUYỄN VĂN TÚ</v>
      </c>
      <c r="D105" s="4" t="str">
        <f>IFERROR(INDEX('Dự thu chiết khấu'!$H:$H,MATCH(E105,'Dự thu chiết khấu'!$L:$L,0)),"")</f>
        <v>VF 7</v>
      </c>
      <c r="E105" s="4" t="str">
        <f>'Dự thu chiết khấu'!L102</f>
        <v>RLLV3EKBXSH879204</v>
      </c>
      <c r="F105" s="5" t="s">
        <v>112</v>
      </c>
      <c r="G105" s="5" t="str" cm="1">
        <f t="array" ref="G105">IFERROR(INDEX('DT-GV'!$X$6:$X$213,MATCH(1,('DT-GV'!$H$6:$H$213=E105)*('DT-GV'!$R$6:$R$213&lt;&gt;0),0)),IFERROR(VLOOKUP(E105,'DT-GV'!$H$6:$X$213,17,0),""))</f>
        <v>BLKD</v>
      </c>
      <c r="H105" s="8" t="str">
        <f>VLOOKUP(E105,'Dự thu chiết khấu'!$L$3:$M$226,2,0)</f>
        <v>S11006</v>
      </c>
      <c r="I105">
        <v>1</v>
      </c>
      <c r="J105" s="11">
        <f>VLOOKUP(E105,'Dự thu chiết khấu'!$L$3:$P$226,5,0)</f>
        <v>939000000</v>
      </c>
      <c r="K105" s="12">
        <f t="shared" si="13"/>
        <v>56340000</v>
      </c>
      <c r="L105" s="12">
        <f t="shared" si="14"/>
        <v>0</v>
      </c>
      <c r="M105" s="13">
        <f>IFERROR(VLOOKUP(E105,'Dự thu chiết khấu'!$L$3:$R$226,7,0),0)</f>
        <v>0</v>
      </c>
      <c r="N105" s="14">
        <f>IFERROR(VLOOKUP(E105,'Dự thu chiết khấu'!$L$3:$S$226,8,0),0)</f>
        <v>0</v>
      </c>
      <c r="O105" s="11">
        <f>IF(IFERROR(VLOOKUP(E105,'Dự thu chiết khấu'!$L$3:$T$226,9,0),0)&gt;0,J105*$O$5,0)</f>
        <v>0</v>
      </c>
      <c r="P105" s="13">
        <f>IFERROR(VLOOKUP(E105,'Dự thu chiết khấu'!$L$3:$U$226,10,0),0)</f>
        <v>0</v>
      </c>
      <c r="Q105" s="12">
        <f>IFERROR(VLOOKUP(E105,'Dự thu chiết khấu'!$L$3:$V$226,11,0),0)</f>
        <v>20000000</v>
      </c>
      <c r="R105" s="12">
        <f>VLOOKUP($E105,'Dự thu chiết khấu'!$L$3:$W$226,12,0)</f>
        <v>15000000</v>
      </c>
      <c r="S105" s="12">
        <f t="shared" si="10"/>
        <v>770599999.99999988</v>
      </c>
      <c r="T105" s="11">
        <f t="shared" si="11"/>
        <v>0</v>
      </c>
      <c r="U105" s="15">
        <f>SUMIFS('DT-GV'!$N$6:$N$213,'DT-GV'!$H$6:$H$213,E105,'DT-GV'!$R$6:$R$213,"&lt;&gt;0")</f>
        <v>770600000</v>
      </c>
      <c r="V105" s="48">
        <f>SUMIFS('DT-GV'!$N$6:$N$213,'DT-GV'!$H$6:$H$213,E105,'DT-GV'!$R$6:$R$213,0)</f>
        <v>0</v>
      </c>
      <c r="W105" s="15">
        <f>-SUMIFS('DT-GV'!$R$6:$R$213,'DT-GV'!$H$6:$H$213,E105)</f>
        <v>-815222727</v>
      </c>
      <c r="X105" s="11">
        <f>IFERROR(VLOOKUP($E105,'Dự thu chiết khấu'!$L$3:$AK$226,26,0)/1.1,0)</f>
        <v>66276999.999999993</v>
      </c>
      <c r="Y105" s="11">
        <f>IFERROR(VLOOKUP($E105,'Dự thu chiết khấu'!$L$3:$BE$226,46,0)/1.1,0)</f>
        <v>0</v>
      </c>
      <c r="Z105" s="11">
        <f>-SUMIF('Lương năng suất'!$R$4:$R$208,E105,'Lương năng suất'!$AQ$4:$AQ$208)</f>
        <v>-10400000</v>
      </c>
      <c r="AA105" s="213" t="str">
        <f>IFERROR(IF(ISNUMBER(SEARCH("TẶNG",VLOOKUP(E105,'Dự thu chiết khấu'!$L$3:$AV$226,37,0))),"TẶNG",""),"")</f>
        <v>TẶNG</v>
      </c>
      <c r="AB105" s="213" t="str">
        <f>IFERROR(IF(ISNUMBER(SEARCH("TẶNG",VLOOKUP(E105,'Dự thu chiết khấu'!$L$3:$AW$226,38,0))),"TẶNG",""),"")</f>
        <v/>
      </c>
      <c r="AC105" s="49">
        <f t="shared" si="12"/>
        <v>11254272.999999993</v>
      </c>
      <c r="AD105" s="11">
        <f>IFERROR(VLOOKUP(E105,'Dự thu chiết khấu'!$L$3:$AM$226,28,0),0)</f>
        <v>0</v>
      </c>
      <c r="AE105" s="11">
        <f>IFERROR(VLOOKUP(E105,'Dự thu chiết khấu'!$L$3:$AN$226,29,0),0)</f>
        <v>0</v>
      </c>
      <c r="AF105" s="11">
        <f>IFERROR(VLOOKUP(E105,'Dự thu chiết khấu'!$L$3:$AO$226,30,0),0)</f>
        <v>0</v>
      </c>
    </row>
    <row r="106" spans="1:32">
      <c r="A106">
        <v>100</v>
      </c>
      <c r="B106" t="str">
        <f>IFERROR(INDEX('Dự thu chiết khấu'!$E:$E,MATCH(E106,'Dự thu chiết khấu'!$L:$L,0)),"")</f>
        <v>Ngô Đăng Khoa</v>
      </c>
      <c r="C106" s="51" t="str">
        <f>IFERROR(INDEX('Dự thu chiết khấu'!$F:$F,MATCH(E106,'Dự thu chiết khấu'!$L:$L,0)),"")</f>
        <v>NGÔ THỊ XUÂN</v>
      </c>
      <c r="D106" s="4" t="str">
        <f>IFERROR(INDEX('Dự thu chiết khấu'!$H:$H,MATCH(E106,'Dự thu chiết khấu'!$L:$L,0)),"")</f>
        <v>VF 3</v>
      </c>
      <c r="E106" s="4" t="str">
        <f>'Dự thu chiết khấu'!L103</f>
        <v>RLNVBL9K7TT711958</v>
      </c>
      <c r="F106" s="5" t="s">
        <v>112</v>
      </c>
      <c r="G106" s="5" t="str" cm="1">
        <f t="array" ref="G106">IFERROR(INDEX('DT-GV'!$X$6:$X$213,MATCH(1,('DT-GV'!$H$6:$H$213=E106)*('DT-GV'!$R$6:$R$213&lt;&gt;0),0)),IFERROR(VLOOKUP(E106,'DT-GV'!$H$6:$X$213,17,0),""))</f>
        <v>BLKD</v>
      </c>
      <c r="H106" s="6" t="str">
        <f>VLOOKUP(E106,'Dự thu chiết khấu'!$L$3:$M$226,2,0)</f>
        <v>S11006</v>
      </c>
      <c r="I106">
        <v>1</v>
      </c>
      <c r="J106" s="11">
        <f>VLOOKUP(E106,'Dự thu chiết khấu'!$L$3:$P$226,5,0)</f>
        <v>315000000</v>
      </c>
      <c r="K106" s="12">
        <f t="shared" si="13"/>
        <v>18900000</v>
      </c>
      <c r="L106" s="12">
        <f t="shared" si="14"/>
        <v>0</v>
      </c>
      <c r="M106" s="13">
        <f>IFERROR(VLOOKUP(E106,'Dự thu chiết khấu'!$L$3:$R$226,7,0),0)</f>
        <v>0</v>
      </c>
      <c r="N106" s="14">
        <f>IFERROR(VLOOKUP(E106,'Dự thu chiết khấu'!$L$3:$S$226,8,0),0)</f>
        <v>0</v>
      </c>
      <c r="O106" s="11">
        <f>IF(IFERROR(VLOOKUP(E106,'Dự thu chiết khấu'!$L$3:$T$226,9,0),0)&gt;0,J106*$O$5,0)</f>
        <v>0</v>
      </c>
      <c r="P106" s="13">
        <f>IFERROR(VLOOKUP(E106,'Dự thu chiết khấu'!$L$3:$U$226,10,0),0)</f>
        <v>0</v>
      </c>
      <c r="Q106" s="12">
        <f>IFERROR(VLOOKUP(E106,'Dự thu chiết khấu'!$L$3:$V$226,11,0),0)</f>
        <v>0</v>
      </c>
      <c r="R106" s="12">
        <f>VLOOKUP($E106,'Dự thu chiết khấu'!$L$3:$W$226,12,0)</f>
        <v>0</v>
      </c>
      <c r="S106" s="12">
        <f t="shared" si="10"/>
        <v>269181818.18181819</v>
      </c>
      <c r="T106" s="11">
        <f t="shared" si="11"/>
        <v>0.18181818723678589</v>
      </c>
      <c r="U106" s="15">
        <f>SUMIFS('DT-GV'!$N$6:$N$213,'DT-GV'!$H$6:$H$213,E106,'DT-GV'!$R$6:$R$213,"&lt;&gt;0")</f>
        <v>269181818</v>
      </c>
      <c r="V106" s="48">
        <f>SUMIFS('DT-GV'!$N$6:$N$213,'DT-GV'!$H$6:$H$213,E106,'DT-GV'!$R$6:$R$213,0)</f>
        <v>0</v>
      </c>
      <c r="W106" s="15">
        <f>-SUMIFS('DT-GV'!$R$6:$R$213,'DT-GV'!$H$6:$H$213,E106)</f>
        <v>-274909091</v>
      </c>
      <c r="X106" s="11">
        <f>IFERROR(VLOOKUP($E106,'Dự thu chiết khấu'!$L$3:$AK$226,26,0)/1.1,0)</f>
        <v>16494545.454545453</v>
      </c>
      <c r="Y106" s="11">
        <f>IFERROR(VLOOKUP($E106,'Dự thu chiết khấu'!$L$3:$BE$226,46,0)/1.1,0)</f>
        <v>0</v>
      </c>
      <c r="Z106" s="11">
        <f>-SUMIF('Lương năng suất'!$R$4:$R$208,E106,'Lương năng suất'!$AQ$4:$AQ$208)</f>
        <v>-6800000</v>
      </c>
      <c r="AA106" s="213" t="str">
        <f>IFERROR(IF(ISNUMBER(SEARCH("TẶNG",VLOOKUP(E106,'Dự thu chiết khấu'!$L$3:$AV$226,37,0))),"TẶNG",""),"")</f>
        <v/>
      </c>
      <c r="AB106" s="213" t="str">
        <f>IFERROR(IF(ISNUMBER(SEARCH("TẶNG",VLOOKUP(E106,'Dự thu chiết khấu'!$L$3:$AW$226,38,0))),"TẶNG",""),"")</f>
        <v/>
      </c>
      <c r="AC106" s="49">
        <f t="shared" si="12"/>
        <v>3967272.4545454532</v>
      </c>
      <c r="AD106" s="11">
        <f>IFERROR(VLOOKUP(E106,'Dự thu chiết khấu'!$L$3:$AM$226,28,0),0)</f>
        <v>0</v>
      </c>
      <c r="AE106" s="11">
        <f>IFERROR(VLOOKUP(E106,'Dự thu chiết khấu'!$L$3:$AN$226,29,0),0)</f>
        <v>0</v>
      </c>
      <c r="AF106" s="11">
        <f>IFERROR(VLOOKUP(E106,'Dự thu chiết khấu'!$L$3:$AO$226,30,0),0)</f>
        <v>5000000</v>
      </c>
    </row>
    <row r="107" spans="1:32">
      <c r="A107" s="11">
        <v>101</v>
      </c>
      <c r="B107" t="str">
        <f>IFERROR(INDEX('Dự thu chiết khấu'!$E:$E,MATCH(E107,'Dự thu chiết khấu'!$L:$L,0)),"")</f>
        <v>TỪ NỮ BÉ MI</v>
      </c>
      <c r="C107" s="51" t="str">
        <f>IFERROR(INDEX('Dự thu chiết khấu'!$F:$F,MATCH(E107,'Dự thu chiết khấu'!$L:$L,0)),"")</f>
        <v>PHẠM NGỌC HÙNG</v>
      </c>
      <c r="D107" s="4" t="str">
        <f>IFERROR(INDEX('Dự thu chiết khấu'!$H:$H,MATCH(E107,'Dự thu chiết khấu'!$L:$L,0)),"")</f>
        <v>VF 9</v>
      </c>
      <c r="E107" s="4" t="str">
        <f>'Dự thu chiết khấu'!L104</f>
        <v>RLLV2CFA7TH742778</v>
      </c>
      <c r="F107" s="5" t="s">
        <v>104</v>
      </c>
      <c r="G107" s="5" t="str" cm="1">
        <f t="array" ref="G107">IFERROR(INDEX('DT-GV'!$X$6:$X$213,MATCH(1,('DT-GV'!$H$6:$H$213=E107)*('DT-GV'!$R$6:$R$213&lt;&gt;0),0)),IFERROR(VLOOKUP(E107,'DT-GV'!$H$6:$X$213,17,0),""))</f>
        <v>SLKD</v>
      </c>
      <c r="H107" s="7" t="str">
        <f>VLOOKUP(E107,'Dự thu chiết khấu'!$L$3:$M$226,2,0)</f>
        <v>S11007</v>
      </c>
      <c r="I107">
        <v>1</v>
      </c>
      <c r="J107" s="11">
        <f>VLOOKUP(E107,'Dự thu chiết khấu'!$L$3:$P$226,5,0)</f>
        <v>1699000000</v>
      </c>
      <c r="K107" s="12">
        <f t="shared" si="13"/>
        <v>0</v>
      </c>
      <c r="L107" s="12">
        <f t="shared" si="14"/>
        <v>169900000</v>
      </c>
      <c r="M107" s="13">
        <f>IFERROR(VLOOKUP(E107,'Dự thu chiết khấu'!$L$3:$R$226,7,0),0)</f>
        <v>0</v>
      </c>
      <c r="N107" s="14">
        <f>IFERROR(VLOOKUP(E107,'Dự thu chiết khấu'!$L$3:$S$226,8,0),0)</f>
        <v>5.0000000000000001E-3</v>
      </c>
      <c r="O107" s="11">
        <f>IF(IFERROR(VLOOKUP(E107,'Dự thu chiết khấu'!$L$3:$T$226,9,0),0)&gt;0,J107*$O$5,0)</f>
        <v>50970000</v>
      </c>
      <c r="P107" s="13">
        <f>IFERROR(VLOOKUP(E107,'Dự thu chiết khấu'!$L$3:$U$226,10,0),0)</f>
        <v>0</v>
      </c>
      <c r="Q107" s="12">
        <f>IFERROR(VLOOKUP(E107,'Dự thu chiết khấu'!$L$3:$V$226,11,0),0)</f>
        <v>0</v>
      </c>
      <c r="R107" s="12">
        <f>VLOOKUP($E107,'Dự thu chiết khấu'!$L$3:$W$226,12,0)</f>
        <v>25000000</v>
      </c>
      <c r="S107" s="12">
        <f t="shared" si="10"/>
        <v>1314399409.090909</v>
      </c>
      <c r="T107" s="11">
        <f t="shared" si="11"/>
        <v>9.0909004211425781E-2</v>
      </c>
      <c r="U107" s="15">
        <f>SUMIFS('DT-GV'!$N$6:$N$213,'DT-GV'!$H$6:$H$213,E107,'DT-GV'!$R$6:$R$213,"&lt;&gt;0")</f>
        <v>1314399409</v>
      </c>
      <c r="V107" s="48">
        <f>SUMIFS('DT-GV'!$N$6:$N$213,'DT-GV'!$H$6:$H$213,E107,'DT-GV'!$R$6:$R$213,0)</f>
        <v>0</v>
      </c>
      <c r="W107" s="15">
        <f>-SUMIFS('DT-GV'!$R$6:$R$213,'DT-GV'!$H$6:$H$213,E107)</f>
        <v>-1451872727</v>
      </c>
      <c r="X107" s="11">
        <f>IFERROR(VLOOKUP($E107,'Dự thu chiết khấu'!$L$3:$AK$226,26,0)/1.1,0)</f>
        <v>194973646.36363634</v>
      </c>
      <c r="Y107" s="11">
        <f>IFERROR(VLOOKUP($E107,'Dự thu chiết khấu'!$L$3:$BE$226,46,0)/1.1,0)</f>
        <v>26742533.636363633</v>
      </c>
      <c r="Z107" s="11">
        <f>-SUMIF('Lương năng suất'!$R$4:$R$208,E107,'Lương năng suất'!$AQ$4:$AQ$208)</f>
        <v>-55000000</v>
      </c>
      <c r="AA107" s="213" t="str">
        <f>IFERROR(IF(ISNUMBER(SEARCH("TẶNG",VLOOKUP(E107,'Dự thu chiết khấu'!$L$3:$AV$226,37,0))),"TẶNG",""),"")</f>
        <v/>
      </c>
      <c r="AB107" s="213" t="str">
        <f>IFERROR(IF(ISNUMBER(SEARCH("TẶNG",VLOOKUP(E107,'Dự thu chiết khấu'!$L$3:$AW$226,38,0))),"TẶNG",""),"")</f>
        <v/>
      </c>
      <c r="AC107" s="49">
        <f t="shared" si="12"/>
        <v>29242861.99999997</v>
      </c>
      <c r="AD107" s="11">
        <f>IFERROR(VLOOKUP(E107,'Dự thu chiết khấu'!$L$3:$AM$226,28,0),0)</f>
        <v>0</v>
      </c>
      <c r="AE107" s="11">
        <f>IFERROR(VLOOKUP(E107,'Dự thu chiết khấu'!$L$3:$AN$226,29,0),0)</f>
        <v>0</v>
      </c>
      <c r="AF107" s="11">
        <f>IFERROR(VLOOKUP(E107,'Dự thu chiết khấu'!$L$3:$AO$226,30,0),0)</f>
        <v>20000000</v>
      </c>
    </row>
    <row r="108" spans="1:32">
      <c r="A108">
        <v>102</v>
      </c>
      <c r="B108" t="str">
        <f>IFERROR(INDEX('Dự thu chiết khấu'!$E:$E,MATCH(E108,'Dự thu chiết khấu'!$L:$L,0)),"")</f>
        <v>PHẠM THỊ KIM DUNG</v>
      </c>
      <c r="C108" s="51" t="str">
        <f>IFERROR(INDEX('Dự thu chiết khấu'!$F:$F,MATCH(E108,'Dự thu chiết khấu'!$L:$L,0)),"")</f>
        <v xml:space="preserve">VÕ VĂN TÀI </v>
      </c>
      <c r="D108" s="4" t="str">
        <f>IFERROR(INDEX('Dự thu chiết khấu'!$H:$H,MATCH(E108,'Dự thu chiết khấu'!$L:$L,0)),"")</f>
        <v>LIMO GREEN</v>
      </c>
      <c r="E108" s="4" t="str">
        <f>'Dự thu chiết khấu'!L105</f>
        <v>RLLVFPNTXTH742823</v>
      </c>
      <c r="F108" s="5" t="s">
        <v>104</v>
      </c>
      <c r="G108" s="5" t="str" cm="1">
        <f t="array" ref="G108">IFERROR(INDEX('DT-GV'!$X$6:$X$213,MATCH(1,('DT-GV'!$H$6:$H$213=E108)*('DT-GV'!$R$6:$R$213&lt;&gt;0),0)),IFERROR(VLOOKUP(E108,'DT-GV'!$H$6:$X$213,17,0),""))</f>
        <v>SLKD</v>
      </c>
      <c r="H108" s="6" t="str">
        <f>VLOOKUP(E108,'Dự thu chiết khấu'!$L$3:$M$226,2,0)</f>
        <v>S11007</v>
      </c>
      <c r="I108">
        <v>1</v>
      </c>
      <c r="J108" s="11">
        <f>VLOOKUP(E108,'Dự thu chiết khấu'!$L$3:$P$226,5,0)</f>
        <v>749000000</v>
      </c>
      <c r="K108" s="12">
        <f t="shared" si="13"/>
        <v>44940000</v>
      </c>
      <c r="L108" s="12">
        <f t="shared" si="14"/>
        <v>0</v>
      </c>
      <c r="M108" s="13">
        <f>IFERROR(VLOOKUP(E108,'Dự thu chiết khấu'!$L$3:$R$226,7,0),0)</f>
        <v>0</v>
      </c>
      <c r="N108" s="14">
        <f>IFERROR(VLOOKUP(E108,'Dự thu chiết khấu'!$L$3:$S$226,8,0),0)</f>
        <v>0</v>
      </c>
      <c r="O108" s="11">
        <f>IF(IFERROR(VLOOKUP(E108,'Dự thu chiết khấu'!$L$3:$T$226,9,0),0)&gt;0,J108*$O$5,0)</f>
        <v>0</v>
      </c>
      <c r="P108" s="13">
        <f>IFERROR(VLOOKUP(E108,'Dự thu chiết khấu'!$L$3:$U$226,10,0),0)</f>
        <v>0</v>
      </c>
      <c r="Q108" s="12">
        <f>IFERROR(VLOOKUP(E108,'Dự thu chiết khấu'!$L$3:$V$226,11,0),0)</f>
        <v>0</v>
      </c>
      <c r="R108" s="12">
        <f>VLOOKUP($E108,'Dự thu chiết khấu'!$L$3:$W$226,12,0)</f>
        <v>7000000</v>
      </c>
      <c r="S108" s="12">
        <f t="shared" si="10"/>
        <v>633690909.090909</v>
      </c>
      <c r="T108" s="11">
        <f t="shared" si="11"/>
        <v>9.0909004211425781E-2</v>
      </c>
      <c r="U108" s="15">
        <f>SUMIFS('DT-GV'!$N$6:$N$213,'DT-GV'!$H$6:$H$213,E108,'DT-GV'!$R$6:$R$213,"&lt;&gt;0")</f>
        <v>633690909</v>
      </c>
      <c r="V108" s="48">
        <f>SUMIFS('DT-GV'!$N$6:$N$213,'DT-GV'!$H$6:$H$213,E108,'DT-GV'!$R$6:$R$213,0)</f>
        <v>0</v>
      </c>
      <c r="W108" s="15">
        <f>-SUMIFS('DT-GV'!$R$6:$R$213,'DT-GV'!$H$6:$H$213,E108)</f>
        <v>-653672727</v>
      </c>
      <c r="X108" s="11">
        <f>IFERROR(VLOOKUP($E108,'Dự thu chiết khấu'!$L$3:$AK$226,26,0)/1.1,0)</f>
        <v>39220363.636363633</v>
      </c>
      <c r="Y108" s="11">
        <f>IFERROR(VLOOKUP($E108,'Dự thu chiết khấu'!$L$3:$BE$226,46,0)/1.1,0)</f>
        <v>6400545.4545454541</v>
      </c>
      <c r="Z108" s="11">
        <f>-SUMIF('Lương năng suất'!$R$4:$R$208,E108,'Lương năng suất'!$AQ$4:$AQ$208)</f>
        <v>-7200000</v>
      </c>
      <c r="AA108" s="213" t="str">
        <f>IFERROR(IF(ISNUMBER(SEARCH("TẶNG",VLOOKUP(E108,'Dự thu chiết khấu'!$L$3:$AV$226,37,0))),"TẶNG",""),"")</f>
        <v/>
      </c>
      <c r="AB108" s="213" t="str">
        <f>IFERROR(IF(ISNUMBER(SEARCH("TẶNG",VLOOKUP(E108,'Dự thu chiết khấu'!$L$3:$AW$226,38,0))),"TẶNG",""),"")</f>
        <v/>
      </c>
      <c r="AC108" s="49">
        <f t="shared" si="12"/>
        <v>18439091.090909086</v>
      </c>
      <c r="AD108" s="11">
        <f>IFERROR(VLOOKUP(E108,'Dự thu chiết khấu'!$L$3:$AM$226,28,0),0)</f>
        <v>0</v>
      </c>
      <c r="AE108" s="11">
        <f>IFERROR(VLOOKUP(E108,'Dự thu chiết khấu'!$L$3:$AN$226,29,0),0)</f>
        <v>0</v>
      </c>
      <c r="AF108" s="11">
        <f>IFERROR(VLOOKUP(E108,'Dự thu chiết khấu'!$L$3:$AO$226,30,0),0)</f>
        <v>10000000</v>
      </c>
    </row>
    <row r="109" spans="1:32">
      <c r="A109" s="11">
        <v>103</v>
      </c>
      <c r="B109" t="str">
        <f>IFERROR(INDEX('Dự thu chiết khấu'!$E:$E,MATCH(E109,'Dự thu chiết khấu'!$L:$L,0)),"")</f>
        <v>PHẠM TRUNG KIÊN</v>
      </c>
      <c r="C109" s="51" t="str">
        <f>IFERROR(INDEX('Dự thu chiết khấu'!$F:$F,MATCH(E109,'Dự thu chiết khấu'!$L:$L,0)),"")</f>
        <v>HỒ HÀO KIỆT</v>
      </c>
      <c r="D109" s="4" t="str">
        <f>IFERROR(INDEX('Dự thu chiết khấu'!$H:$H,MATCH(E109,'Dự thu chiết khấu'!$L:$L,0)),"")</f>
        <v>LIMO GREEN</v>
      </c>
      <c r="E109" s="4" t="str">
        <f>'Dự thu chiết khấu'!L106</f>
        <v>RLLVFPNT0TH704744</v>
      </c>
      <c r="F109" s="5" t="s">
        <v>122</v>
      </c>
      <c r="G109" s="5" t="str" cm="1">
        <f t="array" ref="G109">IFERROR(INDEX('DT-GV'!$X$6:$X$213,MATCH(1,('DT-GV'!$H$6:$H$213=E109)*('DT-GV'!$R$6:$R$213&lt;&gt;0),0)),IFERROR(VLOOKUP(E109,'DT-GV'!$H$6:$X$213,17,0),""))</f>
        <v>QTKD</v>
      </c>
      <c r="H109" s="8" t="str">
        <f>VLOOKUP(E109,'Dự thu chiết khấu'!$L$3:$M$226,2,0)</f>
        <v>S11007</v>
      </c>
      <c r="I109">
        <v>1</v>
      </c>
      <c r="J109" s="11">
        <f>VLOOKUP(E109,'Dự thu chiết khấu'!$L$3:$P$226,5,0)</f>
        <v>749000000</v>
      </c>
      <c r="K109" s="12">
        <f t="shared" si="13"/>
        <v>44940000</v>
      </c>
      <c r="L109" s="12">
        <f t="shared" si="14"/>
        <v>0</v>
      </c>
      <c r="M109" s="13">
        <f>IFERROR(VLOOKUP(E109,'Dự thu chiết khấu'!$L$3:$R$226,7,0),0)</f>
        <v>0</v>
      </c>
      <c r="N109" s="14">
        <f>IFERROR(VLOOKUP(E109,'Dự thu chiết khấu'!$L$3:$S$226,8,0),0)</f>
        <v>0</v>
      </c>
      <c r="O109" s="11">
        <f>IF(IFERROR(VLOOKUP(E109,'Dự thu chiết khấu'!$L$3:$T$226,9,0),0)&gt;0,J109*$O$5,0)</f>
        <v>22470000</v>
      </c>
      <c r="P109" s="13">
        <f>IFERROR(VLOOKUP(E109,'Dự thu chiết khấu'!$L$3:$U$226,10,0),0)</f>
        <v>0</v>
      </c>
      <c r="Q109" s="12">
        <f>IFERROR(VLOOKUP(E109,'Dự thu chiết khấu'!$L$3:$V$226,11,0),0)</f>
        <v>0</v>
      </c>
      <c r="R109" s="12">
        <f>VLOOKUP($E109,'Dự thu chiết khấu'!$L$3:$W$226,12,0)</f>
        <v>0</v>
      </c>
      <c r="S109" s="12">
        <f t="shared" si="10"/>
        <v>619627272.72727263</v>
      </c>
      <c r="T109" s="11">
        <f t="shared" si="11"/>
        <v>-0.272727370262146</v>
      </c>
      <c r="U109" s="15">
        <f>SUMIFS('DT-GV'!$N$6:$N$213,'DT-GV'!$H$6:$H$213,E109,'DT-GV'!$R$6:$R$213,"&lt;&gt;0")</f>
        <v>615081818</v>
      </c>
      <c r="V109" s="48">
        <f>SUMIFS('DT-GV'!$N$6:$N$213,'DT-GV'!$H$6:$H$213,E109,'DT-GV'!$R$6:$R$213,0)</f>
        <v>4545455</v>
      </c>
      <c r="W109" s="15">
        <f>-SUMIFS('DT-GV'!$R$6:$R$213,'DT-GV'!$H$6:$H$213,E109)</f>
        <v>-653672727</v>
      </c>
      <c r="X109" s="11">
        <f>IFERROR(VLOOKUP($E109,'Dự thu chiết khấu'!$L$3:$AK$226,26,0)/1.1,0)</f>
        <v>58830545.454545453</v>
      </c>
      <c r="Y109" s="11">
        <f>IFERROR(VLOOKUP($E109,'Dự thu chiết khấu'!$L$3:$BE$226,46,0)/1.1,0)</f>
        <v>6196272.7272727266</v>
      </c>
      <c r="Z109" s="11">
        <f>-SUMIF('Lương năng suất'!$R$4:$R$208,E109,'Lương năng suất'!$AQ$4:$AQ$208)</f>
        <v>-15200000</v>
      </c>
      <c r="AA109" s="213" t="str">
        <f>IFERROR(IF(ISNUMBER(SEARCH("TẶNG",VLOOKUP(E109,'Dự thu chiết khấu'!$L$3:$AV$226,37,0))),"TẶNG",""),"")</f>
        <v/>
      </c>
      <c r="AB109" s="213" t="str">
        <f>IFERROR(IF(ISNUMBER(SEARCH("TẶNG",VLOOKUP(E109,'Dự thu chiết khấu'!$L$3:$AW$226,38,0))),"TẶNG",""),"")</f>
        <v/>
      </c>
      <c r="AC109" s="49">
        <f t="shared" si="12"/>
        <v>15781364.18181818</v>
      </c>
      <c r="AD109" s="11">
        <f>IFERROR(VLOOKUP(E109,'Dự thu chiết khấu'!$L$3:$AM$226,28,0),0)</f>
        <v>0</v>
      </c>
      <c r="AE109" s="11">
        <f>IFERROR(VLOOKUP(E109,'Dự thu chiết khấu'!$L$3:$AN$226,29,0),0)</f>
        <v>0</v>
      </c>
      <c r="AF109" s="11">
        <f>IFERROR(VLOOKUP(E109,'Dự thu chiết khấu'!$L$3:$AO$226,30,0),0)</f>
        <v>10000000</v>
      </c>
    </row>
    <row r="110" spans="1:32">
      <c r="A110">
        <v>104</v>
      </c>
      <c r="B110" t="str">
        <f>IFERROR(INDEX('Dự thu chiết khấu'!$E:$E,MATCH(E110,'Dự thu chiết khấu'!$L:$L,0)),"")</f>
        <v>PHẠM TRUNG KIÊN</v>
      </c>
      <c r="C110" s="51" t="str">
        <f>IFERROR(INDEX('Dự thu chiết khấu'!$F:$F,MATCH(E110,'Dự thu chiết khấu'!$L:$L,0)),"")</f>
        <v>NGUYỄN VĂN SANG</v>
      </c>
      <c r="D110" s="4" t="str">
        <f>IFERROR(INDEX('Dự thu chiết khấu'!$H:$H,MATCH(E110,'Dự thu chiết khấu'!$L:$L,0)),"")</f>
        <v>LIMO GREEN</v>
      </c>
      <c r="E110" s="4" t="str">
        <f>'Dự thu chiết khấu'!L107</f>
        <v>RLLVFPNT4TH713186</v>
      </c>
      <c r="F110" s="5" t="s">
        <v>122</v>
      </c>
      <c r="G110" s="5" t="str" cm="1">
        <f t="array" ref="G110">IFERROR(INDEX('DT-GV'!$X$6:$X$213,MATCH(1,('DT-GV'!$H$6:$H$213=E110)*('DT-GV'!$R$6:$R$213&lt;&gt;0),0)),IFERROR(VLOOKUP(E110,'DT-GV'!$H$6:$X$213,17,0),""))</f>
        <v>QTKD</v>
      </c>
      <c r="H110" s="8" t="str">
        <f>VLOOKUP(E110,'Dự thu chiết khấu'!$L$3:$M$226,2,0)</f>
        <v>S11007</v>
      </c>
      <c r="I110">
        <v>1</v>
      </c>
      <c r="J110" s="11">
        <f>VLOOKUP(E110,'Dự thu chiết khấu'!$L$3:$P$226,5,0)</f>
        <v>749000000</v>
      </c>
      <c r="K110" s="12">
        <f t="shared" si="13"/>
        <v>44940000</v>
      </c>
      <c r="L110" s="12">
        <f t="shared" si="14"/>
        <v>0</v>
      </c>
      <c r="M110" s="13">
        <f>IFERROR(VLOOKUP(E110,'Dự thu chiết khấu'!$L$3:$R$226,7,0),0)</f>
        <v>0</v>
      </c>
      <c r="N110" s="14">
        <f>IFERROR(VLOOKUP(E110,'Dự thu chiết khấu'!$L$3:$S$226,8,0),0)</f>
        <v>0</v>
      </c>
      <c r="O110" s="11">
        <f>IF(IFERROR(VLOOKUP(E110,'Dự thu chiết khấu'!$L$3:$T$226,9,0),0)&gt;0,J110*$O$5,0)</f>
        <v>22470000</v>
      </c>
      <c r="P110" s="13">
        <f>IFERROR(VLOOKUP(E110,'Dự thu chiết khấu'!$L$3:$U$226,10,0),0)</f>
        <v>0</v>
      </c>
      <c r="Q110" s="12">
        <f>IFERROR(VLOOKUP(E110,'Dự thu chiết khấu'!$L$3:$V$226,11,0),0)</f>
        <v>0</v>
      </c>
      <c r="R110" s="12">
        <f>VLOOKUP($E110,'Dự thu chiết khấu'!$L$3:$W$226,12,0)</f>
        <v>12000000</v>
      </c>
      <c r="S110" s="12">
        <f t="shared" si="10"/>
        <v>608718181.81818175</v>
      </c>
      <c r="T110" s="11">
        <f t="shared" si="11"/>
        <v>-0.18181824684143066</v>
      </c>
      <c r="U110" s="15">
        <f>SUMIFS('DT-GV'!$N$6:$N$213,'DT-GV'!$H$6:$H$213,E110,'DT-GV'!$R$6:$R$213,"&lt;&gt;0")</f>
        <v>608718182</v>
      </c>
      <c r="V110" s="48">
        <f>SUMIFS('DT-GV'!$N$6:$N$213,'DT-GV'!$H$6:$H$213,E110,'DT-GV'!$R$6:$R$213,0)</f>
        <v>0</v>
      </c>
      <c r="W110" s="15">
        <f>-SUMIFS('DT-GV'!$R$6:$R$213,'DT-GV'!$H$6:$H$213,E110)</f>
        <v>-653672727</v>
      </c>
      <c r="X110" s="11">
        <f>IFERROR(VLOOKUP($E110,'Dự thu chiết khấu'!$L$3:$AK$226,26,0)/1.1,0)</f>
        <v>58830545.454545453</v>
      </c>
      <c r="Y110" s="11">
        <f>IFERROR(VLOOKUP($E110,'Dự thu chiết khấu'!$L$3:$BE$226,46,0)/1.1,0)</f>
        <v>6196272.7272727266</v>
      </c>
      <c r="Z110" s="11">
        <f>-SUMIF('Lương năng suất'!$R$4:$R$208,E110,'Lương năng suất'!$AQ$4:$AQ$208)</f>
        <v>-7200000</v>
      </c>
      <c r="AA110" s="213" t="str">
        <f>IFERROR(IF(ISNUMBER(SEARCH("TẶNG",VLOOKUP(E110,'Dự thu chiết khấu'!$L$3:$AV$226,37,0))),"TẶNG",""),"")</f>
        <v/>
      </c>
      <c r="AB110" s="213" t="str">
        <f>IFERROR(IF(ISNUMBER(SEARCH("TẶNG",VLOOKUP(E110,'Dự thu chiết khấu'!$L$3:$AW$226,38,0))),"TẶNG",""),"")</f>
        <v/>
      </c>
      <c r="AC110" s="49">
        <f t="shared" si="12"/>
        <v>12872273.18181818</v>
      </c>
      <c r="AD110" s="11">
        <f>IFERROR(VLOOKUP(E110,'Dự thu chiết khấu'!$L$3:$AM$226,28,0),0)</f>
        <v>0</v>
      </c>
      <c r="AE110" s="11">
        <f>IFERROR(VLOOKUP(E110,'Dự thu chiết khấu'!$L$3:$AN$226,29,0),0)</f>
        <v>0</v>
      </c>
      <c r="AF110" s="11">
        <f>IFERROR(VLOOKUP(E110,'Dự thu chiết khấu'!$L$3:$AO$226,30,0),0)</f>
        <v>10000000</v>
      </c>
    </row>
    <row r="111" spans="1:32">
      <c r="A111" s="11">
        <v>105</v>
      </c>
      <c r="B111" t="str">
        <f>IFERROR(INDEX('Dự thu chiết khấu'!$E:$E,MATCH(E111,'Dự thu chiết khấu'!$L:$L,0)),"")</f>
        <v>NGUYỄN TRỌNG HƯNG</v>
      </c>
      <c r="C111" s="51" t="str">
        <f>IFERROR(INDEX('Dự thu chiết khấu'!$F:$F,MATCH(E111,'Dự thu chiết khấu'!$L:$L,0)),"")</f>
        <v>LÊ MAI THÀNH TOÀN</v>
      </c>
      <c r="D111" s="4" t="str">
        <f>IFERROR(INDEX('Dự thu chiết khấu'!$H:$H,MATCH(E111,'Dự thu chiết khấu'!$L:$L,0)),"")</f>
        <v>VF 3</v>
      </c>
      <c r="E111" s="4" t="str">
        <f>'Dự thu chiết khấu'!L108</f>
        <v>RLNVBL9K4TT713943</v>
      </c>
      <c r="F111" s="5" t="s">
        <v>122</v>
      </c>
      <c r="G111" s="5" t="str" cm="1">
        <f t="array" ref="G111">IFERROR(INDEX('DT-GV'!$X$6:$X$213,MATCH(1,('DT-GV'!$H$6:$H$213=E111)*('DT-GV'!$R$6:$R$213&lt;&gt;0),0)),IFERROR(VLOOKUP(E111,'DT-GV'!$H$6:$X$213,17,0),""))</f>
        <v>QTKD</v>
      </c>
      <c r="H111" s="8" t="str">
        <f>VLOOKUP(E111,'Dự thu chiết khấu'!$L$3:$M$226,2,0)</f>
        <v>S11008</v>
      </c>
      <c r="I111">
        <v>1</v>
      </c>
      <c r="J111" s="11">
        <f>VLOOKUP(E111,'Dự thu chiết khấu'!$L$3:$P$226,5,0)</f>
        <v>315000000</v>
      </c>
      <c r="K111" s="12">
        <f t="shared" si="13"/>
        <v>18900000</v>
      </c>
      <c r="L111" s="12">
        <f t="shared" si="14"/>
        <v>0</v>
      </c>
      <c r="M111" s="13">
        <f>IFERROR(VLOOKUP(E111,'Dự thu chiết khấu'!$L$3:$R$226,7,0),0)</f>
        <v>0</v>
      </c>
      <c r="N111" s="14">
        <f>IFERROR(VLOOKUP(E111,'Dự thu chiết khấu'!$L$3:$S$226,8,0),0)</f>
        <v>0</v>
      </c>
      <c r="O111" s="11">
        <f>IF(IFERROR(VLOOKUP(E111,'Dự thu chiết khấu'!$L$3:$T$226,9,0),0)&gt;0,J111*$O$5,0)</f>
        <v>9450000</v>
      </c>
      <c r="P111" s="13">
        <f>IFERROR(VLOOKUP(E111,'Dự thu chiết khấu'!$L$3:$U$226,10,0),0)</f>
        <v>0</v>
      </c>
      <c r="Q111" s="12">
        <f>IFERROR(VLOOKUP(E111,'Dự thu chiết khấu'!$L$3:$V$226,11,0),0)</f>
        <v>0</v>
      </c>
      <c r="R111" s="12">
        <f>VLOOKUP($E111,'Dự thu chiết khấu'!$L$3:$W$226,12,0)</f>
        <v>6000000</v>
      </c>
      <c r="S111" s="12">
        <f t="shared" si="10"/>
        <v>255136363.63636363</v>
      </c>
      <c r="T111" s="11">
        <f t="shared" si="11"/>
        <v>-0.36363637447357178</v>
      </c>
      <c r="U111" s="15">
        <f>SUMIFS('DT-GV'!$N$6:$N$213,'DT-GV'!$H$6:$H$213,E111,'DT-GV'!$R$6:$R$213,"&lt;&gt;0")</f>
        <v>255136364</v>
      </c>
      <c r="V111" s="48">
        <f>SUMIFS('DT-GV'!$N$6:$N$213,'DT-GV'!$H$6:$H$213,E111,'DT-GV'!$R$6:$R$213,0)</f>
        <v>0</v>
      </c>
      <c r="W111" s="15">
        <f>-SUMIFS('DT-GV'!$R$6:$R$213,'DT-GV'!$H$6:$H$213,E111)</f>
        <v>-274909091</v>
      </c>
      <c r="X111" s="11">
        <f>IFERROR(VLOOKUP($E111,'Dự thu chiết khấu'!$L$3:$AK$226,26,0)/1.1,0)</f>
        <v>24741818.18181818</v>
      </c>
      <c r="Y111" s="11">
        <f>IFERROR(VLOOKUP($E111,'Dự thu chiết khấu'!$L$3:$BE$226,46,0)/1.1,0)</f>
        <v>0</v>
      </c>
      <c r="Z111" s="11">
        <f>-SUMIF('Lương năng suất'!$R$4:$R$208,E111,'Lương năng suất'!$AQ$4:$AQ$208)</f>
        <v>-2000000</v>
      </c>
      <c r="AA111" s="213" t="str">
        <f>IFERROR(IF(ISNUMBER(SEARCH("TẶNG",VLOOKUP(E111,'Dự thu chiết khấu'!$L$3:$AV$226,37,0))),"TẶNG",""),"")</f>
        <v/>
      </c>
      <c r="AB111" s="213" t="str">
        <f>IFERROR(IF(ISNUMBER(SEARCH("TẶNG",VLOOKUP(E111,'Dự thu chiết khấu'!$L$3:$AW$226,38,0))),"TẶNG",""),"")</f>
        <v/>
      </c>
      <c r="AC111" s="49">
        <f t="shared" si="12"/>
        <v>2969091.1818181798</v>
      </c>
      <c r="AD111" s="11">
        <f>IFERROR(VLOOKUP(E111,'Dự thu chiết khấu'!$L$3:$AM$226,28,0),0)</f>
        <v>0</v>
      </c>
      <c r="AE111" s="11">
        <f>IFERROR(VLOOKUP(E111,'Dự thu chiết khấu'!$L$3:$AN$226,29,0),0)</f>
        <v>0</v>
      </c>
      <c r="AF111" s="11">
        <f>IFERROR(VLOOKUP(E111,'Dự thu chiết khấu'!$L$3:$AO$226,30,0),0)</f>
        <v>0</v>
      </c>
    </row>
    <row r="112" spans="1:32">
      <c r="A112">
        <v>106</v>
      </c>
      <c r="B112" t="str">
        <f>IFERROR(INDEX('Dự thu chiết khấu'!$E:$E,MATCH(E112,'Dự thu chiết khấu'!$L:$L,0)),"")</f>
        <v>NGUYỄN HỮU ĐỨC</v>
      </c>
      <c r="C112" s="51" t="str">
        <f>IFERROR(INDEX('Dự thu chiết khấu'!$F:$F,MATCH(E112,'Dự thu chiết khấu'!$L:$L,0)),"")</f>
        <v>LÂM NGỌC TRINH</v>
      </c>
      <c r="D112" s="4" t="str">
        <f>IFERROR(INDEX('Dự thu chiết khấu'!$H:$H,MATCH(E112,'Dự thu chiết khấu'!$L:$L,0)),"")</f>
        <v>VF 3</v>
      </c>
      <c r="E112" s="4" t="str">
        <f>'Dự thu chiết khấu'!L109</f>
        <v>RLNVBL9K0TT714135</v>
      </c>
      <c r="F112" s="5" t="s">
        <v>122</v>
      </c>
      <c r="G112" s="5" t="str" cm="1">
        <f t="array" ref="G112">IFERROR(INDEX('DT-GV'!$X$6:$X$213,MATCH(1,('DT-GV'!$H$6:$H$213=E112)*('DT-GV'!$R$6:$R$213&lt;&gt;0),0)),IFERROR(VLOOKUP(E112,'DT-GV'!$H$6:$X$213,17,0),""))</f>
        <v>QTKD</v>
      </c>
      <c r="H112" s="8" t="str">
        <f>VLOOKUP(E112,'Dự thu chiết khấu'!$L$3:$M$226,2,0)</f>
        <v>S11007</v>
      </c>
      <c r="I112">
        <v>1</v>
      </c>
      <c r="J112" s="11">
        <f>VLOOKUP(E112,'Dự thu chiết khấu'!$L$3:$P$226,5,0)</f>
        <v>315000000</v>
      </c>
      <c r="K112" s="12">
        <f t="shared" si="13"/>
        <v>18900000</v>
      </c>
      <c r="L112" s="12">
        <f t="shared" si="14"/>
        <v>0</v>
      </c>
      <c r="M112" s="13">
        <f>IFERROR(VLOOKUP(E112,'Dự thu chiết khấu'!$L$3:$R$226,7,0),0)</f>
        <v>0</v>
      </c>
      <c r="N112" s="14">
        <f>IFERROR(VLOOKUP(E112,'Dự thu chiết khấu'!$L$3:$S$226,8,0),0)</f>
        <v>0</v>
      </c>
      <c r="O112" s="11">
        <f>IF(IFERROR(VLOOKUP(E112,'Dự thu chiết khấu'!$L$3:$T$226,9,0),0)&gt;0,J112*$O$5,0)</f>
        <v>9450000</v>
      </c>
      <c r="P112" s="13">
        <f>IFERROR(VLOOKUP(E112,'Dự thu chiết khấu'!$L$3:$U$226,10,0),0)</f>
        <v>0</v>
      </c>
      <c r="Q112" s="12">
        <f>IFERROR(VLOOKUP(E112,'Dự thu chiết khấu'!$L$3:$V$226,11,0),0)</f>
        <v>0</v>
      </c>
      <c r="R112" s="12">
        <f>VLOOKUP($E112,'Dự thu chiết khấu'!$L$3:$W$226,12,0)</f>
        <v>0</v>
      </c>
      <c r="S112" s="12">
        <f t="shared" si="10"/>
        <v>260590909.09090906</v>
      </c>
      <c r="T112" s="11">
        <f t="shared" si="11"/>
        <v>9.0909063816070557E-2</v>
      </c>
      <c r="U112" s="15">
        <f>SUMIFS('DT-GV'!$N$6:$N$213,'DT-GV'!$H$6:$H$213,E112,'DT-GV'!$R$6:$R$213,"&lt;&gt;0")</f>
        <v>260590909</v>
      </c>
      <c r="V112" s="48">
        <f>SUMIFS('DT-GV'!$N$6:$N$213,'DT-GV'!$H$6:$H$213,E112,'DT-GV'!$R$6:$R$213,0)</f>
        <v>0</v>
      </c>
      <c r="W112" s="15">
        <f>-SUMIFS('DT-GV'!$R$6:$R$213,'DT-GV'!$H$6:$H$213,E112)</f>
        <v>-274909091</v>
      </c>
      <c r="X112" s="11">
        <f>IFERROR(VLOOKUP($E112,'Dự thu chiết khấu'!$L$3:$AK$226,26,0)/1.1,0)</f>
        <v>24741818.18181818</v>
      </c>
      <c r="Y112" s="11">
        <f>IFERROR(VLOOKUP($E112,'Dự thu chiết khấu'!$L$3:$BE$226,46,0)/1.1,0)</f>
        <v>2605909.0909090908</v>
      </c>
      <c r="Z112" s="11">
        <f>-SUMIF('Lương năng suất'!$R$4:$R$208,E112,'Lương năng suất'!$AQ$4:$AQ$208)</f>
        <v>-6800000</v>
      </c>
      <c r="AA112" s="213" t="str">
        <f>IFERROR(IF(ISNUMBER(SEARCH("TẶNG",VLOOKUP(E112,'Dự thu chiết khấu'!$L$3:$AV$226,37,0))),"TẶNG",""),"")</f>
        <v/>
      </c>
      <c r="AB112" s="213" t="str">
        <f>IFERROR(IF(ISNUMBER(SEARCH("TẶNG",VLOOKUP(E112,'Dự thu chiết khấu'!$L$3:$AW$226,38,0))),"TẶNG",""),"")</f>
        <v/>
      </c>
      <c r="AC112" s="49">
        <f t="shared" si="12"/>
        <v>6229545.2727272697</v>
      </c>
      <c r="AD112" s="11">
        <f>IFERROR(VLOOKUP(E112,'Dự thu chiết khấu'!$L$3:$AM$226,28,0),0)</f>
        <v>0</v>
      </c>
      <c r="AE112" s="11">
        <f>IFERROR(VLOOKUP(E112,'Dự thu chiết khấu'!$L$3:$AN$226,29,0),0)</f>
        <v>0</v>
      </c>
      <c r="AF112" s="11">
        <f>IFERROR(VLOOKUP(E112,'Dự thu chiết khấu'!$L$3:$AO$226,30,0),0)</f>
        <v>0</v>
      </c>
    </row>
    <row r="113" spans="1:32">
      <c r="A113" s="11">
        <v>107</v>
      </c>
      <c r="B113" t="str">
        <f>IFERROR(INDEX('Dự thu chiết khấu'!$E:$E,MATCH(E113,'Dự thu chiết khấu'!$L:$L,0)),"")</f>
        <v>HÀ DUY KHANG</v>
      </c>
      <c r="C113" s="51" t="str">
        <f>IFERROR(INDEX('Dự thu chiết khấu'!$F:$F,MATCH(E113,'Dự thu chiết khấu'!$L:$L,0)),"")</f>
        <v>ĐẶNG THỊ THUÝ HẰNG</v>
      </c>
      <c r="D113" s="4" t="str">
        <f>IFERROR(INDEX('Dự thu chiết khấu'!$H:$H,MATCH(E113,'Dự thu chiết khấu'!$L:$L,0)),"")</f>
        <v>VF 3</v>
      </c>
      <c r="E113" s="4" t="str">
        <f>'Dự thu chiết khấu'!L110</f>
        <v>RLNVBL9K7TT712916</v>
      </c>
      <c r="F113" s="5" t="s">
        <v>122</v>
      </c>
      <c r="G113" s="5" t="str" cm="1">
        <f t="array" ref="G113">IFERROR(INDEX('DT-GV'!$X$6:$X$213,MATCH(1,('DT-GV'!$H$6:$H$213=E113)*('DT-GV'!$R$6:$R$213&lt;&gt;0),0)),IFERROR(VLOOKUP(E113,'DT-GV'!$H$6:$X$213,17,0),""))</f>
        <v>QTKD</v>
      </c>
      <c r="H113" s="8" t="str">
        <f>VLOOKUP(E113,'Dự thu chiết khấu'!$L$3:$M$226,2,0)</f>
        <v>S11008</v>
      </c>
      <c r="I113">
        <v>1</v>
      </c>
      <c r="J113" s="11">
        <f>VLOOKUP(E113,'Dự thu chiết khấu'!$L$3:$P$226,5,0)</f>
        <v>315000000</v>
      </c>
      <c r="K113" s="12">
        <f t="shared" si="13"/>
        <v>18900000</v>
      </c>
      <c r="L113" s="12">
        <f t="shared" si="14"/>
        <v>0</v>
      </c>
      <c r="M113" s="13">
        <f>IFERROR(VLOOKUP(E113,'Dự thu chiết khấu'!$L$3:$R$226,7,0),0)</f>
        <v>0</v>
      </c>
      <c r="N113" s="14">
        <f>IFERROR(VLOOKUP(E113,'Dự thu chiết khấu'!$L$3:$S$226,8,0),0)</f>
        <v>0</v>
      </c>
      <c r="O113" s="11">
        <f>IF(IFERROR(VLOOKUP(E113,'Dự thu chiết khấu'!$L$3:$T$226,9,0),0)&gt;0,J113*$O$5,0)</f>
        <v>0</v>
      </c>
      <c r="P113" s="13">
        <f>IFERROR(VLOOKUP(E113,'Dự thu chiết khấu'!$L$3:$U$226,10,0),0)</f>
        <v>0</v>
      </c>
      <c r="Q113" s="12">
        <f>IFERROR(VLOOKUP(E113,'Dự thu chiết khấu'!$L$3:$V$226,11,0),0)</f>
        <v>0</v>
      </c>
      <c r="R113" s="12">
        <f>VLOOKUP($E113,'Dự thu chiết khấu'!$L$3:$W$226,12,0)</f>
        <v>5000000</v>
      </c>
      <c r="S113" s="12">
        <f t="shared" si="10"/>
        <v>264636363.63636363</v>
      </c>
      <c r="T113" s="11">
        <f t="shared" si="11"/>
        <v>-0.36363637447357178</v>
      </c>
      <c r="U113" s="15">
        <f>SUMIFS('DT-GV'!$N$6:$N$213,'DT-GV'!$H$6:$H$213,E113,'DT-GV'!$R$6:$R$213,"&lt;&gt;0")</f>
        <v>264636364</v>
      </c>
      <c r="V113" s="48">
        <f>SUMIFS('DT-GV'!$N$6:$N$213,'DT-GV'!$H$6:$H$213,E113,'DT-GV'!$R$6:$R$213,0)</f>
        <v>0</v>
      </c>
      <c r="W113" s="15">
        <f>-SUMIFS('DT-GV'!$R$6:$R$213,'DT-GV'!$H$6:$H$213,E113)</f>
        <v>-274909091</v>
      </c>
      <c r="X113" s="11">
        <f>IFERROR(VLOOKUP($E113,'Dự thu chiết khấu'!$L$3:$AK$226,26,0)/1.1,0)</f>
        <v>16494545.454545453</v>
      </c>
      <c r="Y113" s="11">
        <f>IFERROR(VLOOKUP($E113,'Dự thu chiết khấu'!$L$3:$BE$226,46,0)/1.1,0)</f>
        <v>0</v>
      </c>
      <c r="Z113" s="11">
        <f>-SUMIF('Lương năng suất'!$R$4:$R$208,E113,'Lương năng suất'!$AQ$4:$AQ$208)</f>
        <v>-2800000</v>
      </c>
      <c r="AA113" s="213" t="str">
        <f>IFERROR(IF(ISNUMBER(SEARCH("TẶNG",VLOOKUP(E113,'Dự thu chiết khấu'!$L$3:$AV$226,37,0))),"TẶNG",""),"")</f>
        <v/>
      </c>
      <c r="AB113" s="213" t="str">
        <f>IFERROR(IF(ISNUMBER(SEARCH("TẶNG",VLOOKUP(E113,'Dự thu chiết khấu'!$L$3:$AW$226,38,0))),"TẶNG",""),"")</f>
        <v/>
      </c>
      <c r="AC113" s="49">
        <f t="shared" si="12"/>
        <v>3421818.4545454532</v>
      </c>
      <c r="AD113" s="11">
        <f>IFERROR(VLOOKUP(E113,'Dự thu chiết khấu'!$L$3:$AM$226,28,0),0)</f>
        <v>0</v>
      </c>
      <c r="AE113" s="11">
        <f>IFERROR(VLOOKUP(E113,'Dự thu chiết khấu'!$L$3:$AN$226,29,0),0)</f>
        <v>0</v>
      </c>
      <c r="AF113" s="11">
        <f>IFERROR(VLOOKUP(E113,'Dự thu chiết khấu'!$L$3:$AO$226,30,0),0)</f>
        <v>0</v>
      </c>
    </row>
    <row r="114" spans="1:32">
      <c r="A114">
        <v>108</v>
      </c>
      <c r="B114" t="str">
        <f>IFERROR(INDEX('Dự thu chiết khấu'!$E:$E,MATCH(E114,'Dự thu chiết khấu'!$L:$L,0)),"")</f>
        <v>Lê Ngọc Đức</v>
      </c>
      <c r="C114" s="51" t="str">
        <f>IFERROR(INDEX('Dự thu chiết khấu'!$F:$F,MATCH(E114,'Dự thu chiết khấu'!$L:$L,0)),"")</f>
        <v>NGUYỄN HẰNG VI</v>
      </c>
      <c r="D114" s="4" t="str">
        <f>IFERROR(INDEX('Dự thu chiết khấu'!$H:$H,MATCH(E114,'Dự thu chiết khấu'!$L:$L,0)),"")</f>
        <v>LIMO GREEN</v>
      </c>
      <c r="E114" s="4" t="str">
        <f>'Dự thu chiết khấu'!L111</f>
        <v>RLLVFPNT9TH743719</v>
      </c>
      <c r="F114" s="5" t="s">
        <v>100</v>
      </c>
      <c r="G114" s="5" t="str" cm="1">
        <f t="array" ref="G114">IFERROR(INDEX('DT-GV'!$X$6:$X$213,MATCH(1,('DT-GV'!$H$6:$H$213=E114)*('DT-GV'!$R$6:$R$213&lt;&gt;0),0)),IFERROR(VLOOKUP(E114,'DT-GV'!$H$6:$X$213,17,0),""))</f>
        <v>LAKD</v>
      </c>
      <c r="H114" s="7" t="str">
        <f>VLOOKUP(E114,'Dự thu chiết khấu'!$L$3:$M$226,2,0)</f>
        <v>S11001</v>
      </c>
      <c r="I114">
        <v>1</v>
      </c>
      <c r="J114" s="11">
        <f>VLOOKUP(E114,'Dự thu chiết khấu'!$L$3:$P$226,5,0)</f>
        <v>749000000</v>
      </c>
      <c r="K114" s="12">
        <f t="shared" si="13"/>
        <v>44940000</v>
      </c>
      <c r="L114" s="12">
        <f t="shared" si="14"/>
        <v>0</v>
      </c>
      <c r="M114" s="13">
        <f>IFERROR(VLOOKUP(E114,'Dự thu chiết khấu'!$L$3:$R$226,7,0),0)</f>
        <v>0</v>
      </c>
      <c r="N114" s="14">
        <f>IFERROR(VLOOKUP(E114,'Dự thu chiết khấu'!$L$3:$S$226,8,0),0)</f>
        <v>0.01</v>
      </c>
      <c r="O114" s="11">
        <f>IF(IFERROR(VLOOKUP(E114,'Dự thu chiết khấu'!$L$3:$T$226,9,0),0)&gt;0,J114*$O$5,0)</f>
        <v>22470000</v>
      </c>
      <c r="P114" s="13">
        <f>IFERROR(VLOOKUP(E114,'Dự thu chiết khấu'!$L$3:$U$226,10,0),0)</f>
        <v>0</v>
      </c>
      <c r="Q114" s="12">
        <f>IFERROR(VLOOKUP(E114,'Dự thu chiết khấu'!$L$3:$V$226,11,0),0)</f>
        <v>0</v>
      </c>
      <c r="R114" s="12">
        <f>VLOOKUP($E114,'Dự thu chiết khấu'!$L$3:$W$226,12,0)</f>
        <v>0</v>
      </c>
      <c r="S114" s="12">
        <f t="shared" si="10"/>
        <v>613431000</v>
      </c>
      <c r="T114" s="11">
        <f t="shared" si="11"/>
        <v>0</v>
      </c>
      <c r="U114" s="15">
        <f>SUMIFS('DT-GV'!$N$6:$N$213,'DT-GV'!$H$6:$H$213,E114,'DT-GV'!$R$6:$R$213,"&lt;&gt;0")</f>
        <v>613431000</v>
      </c>
      <c r="V114" s="48">
        <f>SUMIFS('DT-GV'!$N$6:$N$213,'DT-GV'!$H$6:$H$213,E114,'DT-GV'!$R$6:$R$213,0)</f>
        <v>0</v>
      </c>
      <c r="W114" s="15">
        <f>-SUMIFS('DT-GV'!$R$6:$R$213,'DT-GV'!$H$6:$H$213,E114)</f>
        <v>-653672727</v>
      </c>
      <c r="X114" s="11">
        <f>IFERROR(VLOOKUP($E114,'Dự thu chiết khấu'!$L$3:$AK$226,26,0)/1.1,0)</f>
        <v>64778967.272727266</v>
      </c>
      <c r="Y114" s="11">
        <f>IFERROR(VLOOKUP($E114,'Dự thu chiết khấu'!$L$3:$BE$226,46,0)/1.1,0)</f>
        <v>0</v>
      </c>
      <c r="Z114" s="11">
        <f>-SUMIF('Lương năng suất'!$R$4:$R$208,E114,'Lương năng suất'!$AQ$4:$AQ$208)</f>
        <v>-11400000</v>
      </c>
      <c r="AA114" s="213" t="str">
        <f>IFERROR(IF(ISNUMBER(SEARCH("TẶNG",VLOOKUP(E114,'Dự thu chiết khấu'!$L$3:$AV$226,37,0))),"TẶNG",""),"")</f>
        <v>TẶNG</v>
      </c>
      <c r="AB114" s="213" t="str">
        <f>IFERROR(IF(ISNUMBER(SEARCH("TẶNG",VLOOKUP(E114,'Dự thu chiết khấu'!$L$3:$AW$226,38,0))),"TẶNG",""),"")</f>
        <v/>
      </c>
      <c r="AC114" s="49">
        <f t="shared" si="12"/>
        <v>13137240.272727266</v>
      </c>
      <c r="AD114" s="11">
        <f>IFERROR(VLOOKUP(E114,'Dự thu chiết khấu'!$L$3:$AM$226,28,0),0)</f>
        <v>0</v>
      </c>
      <c r="AE114" s="11">
        <f>IFERROR(VLOOKUP(E114,'Dự thu chiết khấu'!$L$3:$AN$226,29,0),0)</f>
        <v>0</v>
      </c>
      <c r="AF114" s="11">
        <f>IFERROR(VLOOKUP(E114,'Dự thu chiết khấu'!$L$3:$AO$226,30,0),0)</f>
        <v>0</v>
      </c>
    </row>
    <row r="115" spans="1:32">
      <c r="A115" s="11">
        <v>109</v>
      </c>
      <c r="B115" t="str">
        <f>IFERROR(INDEX('Dự thu chiết khấu'!$E:$E,MATCH(E115,'Dự thu chiết khấu'!$L:$L,0)),"")</f>
        <v>Lê Ngọc Đức</v>
      </c>
      <c r="C115" s="51" t="str">
        <f>IFERROR(INDEX('Dự thu chiết khấu'!$F:$F,MATCH(E115,'Dự thu chiết khấu'!$L:$L,0)),"")</f>
        <v>LÊ NGUYỄN PHƯƠNG VI</v>
      </c>
      <c r="D115" s="4" t="str">
        <f>IFERROR(INDEX('Dự thu chiết khấu'!$H:$H,MATCH(E115,'Dự thu chiết khấu'!$L:$L,0)),"")</f>
        <v>VF 3</v>
      </c>
      <c r="E115" s="4" t="str">
        <f>'Dự thu chiết khấu'!L112</f>
        <v>RLNVBL9K7ST716401</v>
      </c>
      <c r="F115" s="5" t="s">
        <v>100</v>
      </c>
      <c r="G115" s="5" t="str" cm="1">
        <f t="array" ref="G115">IFERROR(INDEX('DT-GV'!$X$6:$X$213,MATCH(1,('DT-GV'!$H$6:$H$213=E115)*('DT-GV'!$R$6:$R$213&lt;&gt;0),0)),IFERROR(VLOOKUP(E115,'DT-GV'!$H$6:$X$213,17,0),""))</f>
        <v>LAKD</v>
      </c>
      <c r="H115" s="6" t="str">
        <f>VLOOKUP(E115,'Dự thu chiết khấu'!$L$3:$M$226,2,0)</f>
        <v>S11006</v>
      </c>
      <c r="I115">
        <v>1</v>
      </c>
      <c r="J115" s="11">
        <f>VLOOKUP(E115,'Dự thu chiết khấu'!$L$3:$P$226,5,0)</f>
        <v>310000000</v>
      </c>
      <c r="K115" s="12">
        <f t="shared" si="13"/>
        <v>18600000</v>
      </c>
      <c r="L115" s="12">
        <f t="shared" si="14"/>
        <v>0</v>
      </c>
      <c r="M115" s="13">
        <f>IFERROR(VLOOKUP(E115,'Dự thu chiết khấu'!$L$3:$R$226,7,0),0)</f>
        <v>0</v>
      </c>
      <c r="N115" s="14">
        <f>IFERROR(VLOOKUP(E115,'Dự thu chiết khấu'!$L$3:$S$226,8,0),0)</f>
        <v>0</v>
      </c>
      <c r="O115" s="11">
        <f>IF(IFERROR(VLOOKUP(E115,'Dự thu chiết khấu'!$L$3:$T$226,9,0),0)&gt;0,J115*$O$5,0)</f>
        <v>0</v>
      </c>
      <c r="P115" s="13">
        <f>IFERROR(VLOOKUP(E115,'Dự thu chiết khấu'!$L$3:$U$226,10,0),0)</f>
        <v>0</v>
      </c>
      <c r="Q115" s="12">
        <f>IFERROR(VLOOKUP(E115,'Dự thu chiết khấu'!$L$3:$V$226,11,0),0)</f>
        <v>18000000</v>
      </c>
      <c r="R115" s="12">
        <f>VLOOKUP($E115,'Dự thu chiết khấu'!$L$3:$W$226,12,0)</f>
        <v>0</v>
      </c>
      <c r="S115" s="12">
        <f t="shared" si="10"/>
        <v>248545454.54545453</v>
      </c>
      <c r="T115" s="11">
        <f t="shared" si="11"/>
        <v>-0.45454546809196472</v>
      </c>
      <c r="U115" s="15">
        <f>SUMIFS('DT-GV'!$N$6:$N$213,'DT-GV'!$H$6:$H$213,E115,'DT-GV'!$R$6:$R$213,"&lt;&gt;0")</f>
        <v>248545455</v>
      </c>
      <c r="V115" s="48">
        <f>SUMIFS('DT-GV'!$N$6:$N$213,'DT-GV'!$H$6:$H$213,E115,'DT-GV'!$R$6:$R$213,0)</f>
        <v>0</v>
      </c>
      <c r="W115" s="15">
        <f>-SUMIFS('DT-GV'!$R$6:$R$213,'DT-GV'!$H$6:$H$213,E115)</f>
        <v>-270545455</v>
      </c>
      <c r="X115" s="11">
        <f>IFERROR(VLOOKUP($E115,'Dự thu chiết khấu'!$L$3:$AK$226,26,0)/1.1,0)</f>
        <v>31941818.18181818</v>
      </c>
      <c r="Y115" s="11">
        <f>IFERROR(VLOOKUP($E115,'Dự thu chiết khấu'!$L$3:$BE$226,46,0)/1.1,0)</f>
        <v>0</v>
      </c>
      <c r="Z115" s="11">
        <f>-SUMIF('Lương năng suất'!$R$4:$R$208,E115,'Lương năng suất'!$AQ$4:$AQ$208)</f>
        <v>-4800000</v>
      </c>
      <c r="AA115" s="213" t="str">
        <f>IFERROR(IF(ISNUMBER(SEARCH("TẶNG",VLOOKUP(E115,'Dự thu chiết khấu'!$L$3:$AV$226,37,0))),"TẶNG",""),"")</f>
        <v/>
      </c>
      <c r="AB115" s="213" t="str">
        <f>IFERROR(IF(ISNUMBER(SEARCH("TẶNG",VLOOKUP(E115,'Dự thu chiết khấu'!$L$3:$AW$226,38,0))),"TẶNG",""),"")</f>
        <v/>
      </c>
      <c r="AC115" s="49">
        <f t="shared" si="12"/>
        <v>5141818.1818181798</v>
      </c>
      <c r="AD115" s="11">
        <f>IFERROR(VLOOKUP(E115,'Dự thu chiết khấu'!$L$3:$AM$226,28,0),0)</f>
        <v>0</v>
      </c>
      <c r="AE115" s="11">
        <f>IFERROR(VLOOKUP(E115,'Dự thu chiết khấu'!$L$3:$AN$226,29,0),0)</f>
        <v>0</v>
      </c>
      <c r="AF115" s="11">
        <f>IFERROR(VLOOKUP(E115,'Dự thu chiết khấu'!$L$3:$AO$226,30,0),0)</f>
        <v>0</v>
      </c>
    </row>
    <row r="116" spans="1:32">
      <c r="A116">
        <v>110</v>
      </c>
      <c r="B116" t="str">
        <f>IFERROR(INDEX('Dự thu chiết khấu'!$E:$E,MATCH(E116,'Dự thu chiết khấu'!$L:$L,0)),"")</f>
        <v>Lê Ngọc Toàn</v>
      </c>
      <c r="C116" s="51" t="str">
        <f>IFERROR(INDEX('Dự thu chiết khấu'!$F:$F,MATCH(E116,'Dự thu chiết khấu'!$L:$L,0)),"")</f>
        <v>LÊ VIỆT HOÀNG</v>
      </c>
      <c r="D116" s="4" t="str">
        <f>IFERROR(INDEX('Dự thu chiết khấu'!$H:$H,MATCH(E116,'Dự thu chiết khấu'!$L:$L,0)),"")</f>
        <v>VF 5</v>
      </c>
      <c r="E116" s="4" t="str">
        <f>'Dự thu chiết khấu'!L113</f>
        <v>RLNV5JSE9TH736413</v>
      </c>
      <c r="F116" s="5" t="s">
        <v>100</v>
      </c>
      <c r="G116" s="5" t="str" cm="1">
        <f t="array" ref="G116">IFERROR(INDEX('DT-GV'!$X$6:$X$213,MATCH(1,('DT-GV'!$H$6:$H$213=E116)*('DT-GV'!$R$6:$R$213&lt;&gt;0),0)),IFERROR(VLOOKUP(E116,'DT-GV'!$H$6:$X$213,17,0),""))</f>
        <v>LAKD</v>
      </c>
      <c r="H116" s="8" t="str">
        <f>VLOOKUP(E116,'Dự thu chiết khấu'!$L$3:$M$226,2,0)</f>
        <v>S11001</v>
      </c>
      <c r="I116">
        <v>1</v>
      </c>
      <c r="J116" s="11">
        <f>VLOOKUP(E116,'Dự thu chiết khấu'!$L$3:$P$226,5,0)</f>
        <v>529000000</v>
      </c>
      <c r="K116" s="12">
        <f t="shared" si="13"/>
        <v>31740000</v>
      </c>
      <c r="L116" s="12">
        <f t="shared" si="14"/>
        <v>0</v>
      </c>
      <c r="M116" s="13">
        <f>IFERROR(VLOOKUP(E116,'Dự thu chiết khấu'!$L$3:$R$226,7,0),0)</f>
        <v>0</v>
      </c>
      <c r="N116" s="14">
        <f>IFERROR(VLOOKUP(E116,'Dự thu chiết khấu'!$L$3:$S$226,8,0),0)</f>
        <v>0</v>
      </c>
      <c r="O116" s="11">
        <f>IF(IFERROR(VLOOKUP(E116,'Dự thu chiết khấu'!$L$3:$T$226,9,0),0)&gt;0,J116*$O$5,0)</f>
        <v>0</v>
      </c>
      <c r="P116" s="13">
        <f>IFERROR(VLOOKUP(E116,'Dự thu chiết khấu'!$L$3:$U$226,10,0),0)</f>
        <v>0</v>
      </c>
      <c r="Q116" s="12">
        <f>IFERROR(VLOOKUP(E116,'Dự thu chiết khấu'!$L$3:$V$226,11,0),0)</f>
        <v>0</v>
      </c>
      <c r="R116" s="12">
        <f>VLOOKUP($E116,'Dự thu chiết khấu'!$L$3:$W$226,12,0)</f>
        <v>0</v>
      </c>
      <c r="S116" s="12">
        <f t="shared" si="10"/>
        <v>452054545.45454544</v>
      </c>
      <c r="T116" s="11">
        <f t="shared" si="11"/>
        <v>0.45454543828964233</v>
      </c>
      <c r="U116" s="15">
        <f>SUMIFS('DT-GV'!$N$6:$N$213,'DT-GV'!$H$6:$H$213,E116,'DT-GV'!$R$6:$R$213,"&lt;&gt;0")</f>
        <v>452054545</v>
      </c>
      <c r="V116" s="48">
        <f>SUMIFS('DT-GV'!$N$6:$N$213,'DT-GV'!$H$6:$H$213,E116,'DT-GV'!$R$6:$R$213,0)</f>
        <v>0</v>
      </c>
      <c r="W116" s="15">
        <f>-SUMIFS('DT-GV'!$R$6:$R$213,'DT-GV'!$H$6:$H$213,E116)</f>
        <v>-461672727</v>
      </c>
      <c r="X116" s="11">
        <f>IFERROR(VLOOKUP($E116,'Dự thu chiết khấu'!$L$3:$AK$226,26,0)/1.1,0)</f>
        <v>27700363.636363633</v>
      </c>
      <c r="Y116" s="11">
        <f>IFERROR(VLOOKUP($E116,'Dự thu chiết khấu'!$L$3:$BE$226,46,0)/1.1,0)</f>
        <v>0</v>
      </c>
      <c r="Z116" s="11">
        <f>-SUMIF('Lương năng suất'!$R$4:$R$208,E116,'Lương năng suất'!$AQ$4:$AQ$208)</f>
        <v>-11979598.990989035</v>
      </c>
      <c r="AA116" s="213" t="str">
        <f>IFERROR(IF(ISNUMBER(SEARCH("TẶNG",VLOOKUP(E116,'Dự thu chiết khấu'!$L$3:$AV$226,37,0))),"TẶNG",""),"")</f>
        <v/>
      </c>
      <c r="AB116" s="213" t="str">
        <f>IFERROR(IF(ISNUMBER(SEARCH("TẶNG",VLOOKUP(E116,'Dự thu chiết khấu'!$L$3:$AW$226,38,0))),"TẶNG",""),"")</f>
        <v>TẶNG</v>
      </c>
      <c r="AC116" s="49">
        <f t="shared" si="12"/>
        <v>6102582.645374598</v>
      </c>
      <c r="AD116" s="11">
        <f>IFERROR(VLOOKUP(E116,'Dự thu chiết khấu'!$L$3:$AM$226,28,0),0)</f>
        <v>0</v>
      </c>
      <c r="AE116" s="11">
        <f>IFERROR(VLOOKUP(E116,'Dự thu chiết khấu'!$L$3:$AN$226,29,0),0)</f>
        <v>0</v>
      </c>
      <c r="AF116" s="11">
        <f>IFERROR(VLOOKUP(E116,'Dự thu chiết khấu'!$L$3:$AO$226,30,0),0)</f>
        <v>0</v>
      </c>
    </row>
    <row r="117" spans="1:32">
      <c r="A117" s="11">
        <v>111</v>
      </c>
      <c r="B117" t="str">
        <f>IFERROR(INDEX('Dự thu chiết khấu'!$E:$E,MATCH(E117,'Dự thu chiết khấu'!$L:$L,0)),"")</f>
        <v>Trần Anh Hoàng</v>
      </c>
      <c r="C117" s="51" t="str">
        <f>IFERROR(INDEX('Dự thu chiết khấu'!$F:$F,MATCH(E117,'Dự thu chiết khấu'!$L:$L,0)),"")</f>
        <v>TRỊNH NHỰT HOÀNG</v>
      </c>
      <c r="D117" s="4" t="str">
        <f>IFERROR(INDEX('Dự thu chiết khấu'!$H:$H,MATCH(E117,'Dự thu chiết khấu'!$L:$L,0)),"")</f>
        <v>LIMO GREEN</v>
      </c>
      <c r="E117" s="4" t="str">
        <f>'Dự thu chiết khấu'!L114</f>
        <v>RLLVFPNT8TH703602</v>
      </c>
      <c r="F117" s="5" t="s">
        <v>100</v>
      </c>
      <c r="G117" s="5" t="str" cm="1">
        <f t="array" ref="G117">IFERROR(INDEX('DT-GV'!$X$6:$X$213,MATCH(1,('DT-GV'!$H$6:$H$213=E117)*('DT-GV'!$R$6:$R$213&lt;&gt;0),0)),IFERROR(VLOOKUP(E117,'DT-GV'!$H$6:$X$213,17,0),""))</f>
        <v>LAKD</v>
      </c>
      <c r="H117" s="7" t="str">
        <f>VLOOKUP(E117,'Dự thu chiết khấu'!$L$3:$M$226,2,0)</f>
        <v>S11001</v>
      </c>
      <c r="I117">
        <v>1</v>
      </c>
      <c r="J117" s="11">
        <f>VLOOKUP(E117,'Dự thu chiết khấu'!$L$3:$P$226,5,0)</f>
        <v>749000000</v>
      </c>
      <c r="K117" s="12">
        <f t="shared" si="13"/>
        <v>44940000</v>
      </c>
      <c r="L117" s="12">
        <f t="shared" si="14"/>
        <v>0</v>
      </c>
      <c r="M117" s="13">
        <f>IFERROR(VLOOKUP(E117,'Dự thu chiết khấu'!$L$3:$R$226,7,0),0)</f>
        <v>0</v>
      </c>
      <c r="N117" s="212"/>
      <c r="O117" s="11">
        <f>IF(IFERROR(VLOOKUP(E117,'Dự thu chiết khấu'!$L$3:$T$226,9,0),0)&gt;0,J117*$O$5,0)</f>
        <v>22470000</v>
      </c>
      <c r="P117" s="13">
        <f>IFERROR(VLOOKUP(E117,'Dự thu chiết khấu'!$L$3:$U$226,10,0),0)</f>
        <v>0</v>
      </c>
      <c r="Q117" s="12">
        <f>IFERROR(VLOOKUP(E117,'Dự thu chiết khấu'!$L$3:$V$226,11,0),0)</f>
        <v>0</v>
      </c>
      <c r="R117" s="12">
        <f>VLOOKUP($E117,'Dự thu chiết khấu'!$L$3:$W$226,12,0)</f>
        <v>0</v>
      </c>
      <c r="S117" s="12">
        <f t="shared" si="10"/>
        <v>619627272.72727263</v>
      </c>
      <c r="T117" s="11">
        <f t="shared" si="11"/>
        <v>-0.272727370262146</v>
      </c>
      <c r="U117" s="15">
        <f>SUMIFS('DT-GV'!$N$6:$N$213,'DT-GV'!$H$6:$H$213,E117,'DT-GV'!$R$6:$R$213,"&lt;&gt;0")</f>
        <v>616574591</v>
      </c>
      <c r="V117" s="48">
        <f>SUMIFS('DT-GV'!$N$6:$N$213,'DT-GV'!$H$6:$H$213,E117,'DT-GV'!$R$6:$R$213,0)</f>
        <v>3052682</v>
      </c>
      <c r="W117" s="15">
        <f>-SUMIFS('DT-GV'!$R$6:$R$213,'DT-GV'!$H$6:$H$213,E117)</f>
        <v>-653672727</v>
      </c>
      <c r="X117" s="11">
        <f>IFERROR(VLOOKUP($E117,'Dự thu chiết khấu'!$L$3:$AK$226,26,0)/1.1,0)</f>
        <v>61761119.999999993</v>
      </c>
      <c r="Y117" s="11">
        <f>IFERROR(VLOOKUP($E117,'Dự thu chiết khấu'!$L$3:$BE$226,46,0)/1.1,0)</f>
        <v>0</v>
      </c>
      <c r="Z117" s="11">
        <f>-SUMIF('Lương năng suất'!$R$4:$R$208,E117,'Lương năng suất'!$AQ$4:$AQ$208)</f>
        <v>-14400000</v>
      </c>
      <c r="AA117" s="213" t="str">
        <f>IFERROR(IF(ISNUMBER(SEARCH("TẶNG",VLOOKUP(E117,'Dự thu chiết khấu'!$L$3:$AV$226,37,0))),"TẶNG",""),"")</f>
        <v/>
      </c>
      <c r="AB117" s="213" t="str">
        <f>IFERROR(IF(ISNUMBER(SEARCH("TẶNG",VLOOKUP(E117,'Dự thu chiết khấu'!$L$3:$AW$226,38,0))),"TẶNG",""),"")</f>
        <v/>
      </c>
      <c r="AC117" s="49">
        <f t="shared" si="12"/>
        <v>13315665.999999993</v>
      </c>
      <c r="AD117" s="11">
        <f>IFERROR(VLOOKUP(E117,'Dự thu chiết khấu'!$L$3:$AM$226,28,0),0)</f>
        <v>0</v>
      </c>
      <c r="AE117" s="11">
        <f>IFERROR(VLOOKUP(E117,'Dự thu chiết khấu'!$L$3:$AN$226,29,0),0)</f>
        <v>0</v>
      </c>
      <c r="AF117" s="11">
        <f>IFERROR(VLOOKUP(E117,'Dự thu chiết khấu'!$L$3:$AO$226,30,0),0)</f>
        <v>10000000</v>
      </c>
    </row>
    <row r="118" spans="1:32" ht="34.5">
      <c r="A118">
        <v>112</v>
      </c>
      <c r="B118" t="str">
        <f>IFERROR(INDEX('Dự thu chiết khấu'!$E:$E,MATCH(E118,'Dự thu chiết khấu'!$L:$L,0)),"")</f>
        <v>NGUYỄN DUY KHANG</v>
      </c>
      <c r="C118" s="51" t="str">
        <f>IFERROR(INDEX('Dự thu chiết khấu'!$F:$F,MATCH(E118,'Dự thu chiết khấu'!$L:$L,0)),"")</f>
        <v>CTY TNHH TM &amp; DV GIẢI PHÁP TỰ ĐỘNG HÓA LONG AN</v>
      </c>
      <c r="D118" s="4" t="str">
        <f>IFERROR(INDEX('Dự thu chiết khấu'!$H:$H,MATCH(E118,'Dự thu chiết khấu'!$L:$L,0)),"")</f>
        <v>LIMO GREEN</v>
      </c>
      <c r="E118" s="4" t="str">
        <f>'Dự thu chiết khấu'!L115</f>
        <v>RLLVFPNT8TH742285</v>
      </c>
      <c r="F118" s="5" t="s">
        <v>104</v>
      </c>
      <c r="G118" s="5" t="str" cm="1">
        <f t="array" ref="G118">IFERROR(INDEX('DT-GV'!$X$6:$X$213,MATCH(1,('DT-GV'!$H$6:$H$213=E118)*('DT-GV'!$R$6:$R$213&lt;&gt;0),0)),IFERROR(VLOOKUP(E118,'DT-GV'!$H$6:$X$213,17,0),""))</f>
        <v>SLKD</v>
      </c>
      <c r="H118" s="8" t="str">
        <f>VLOOKUP(E118,'Dự thu chiết khấu'!$L$3:$M$226,2,0)</f>
        <v>S11001</v>
      </c>
      <c r="I118">
        <v>1</v>
      </c>
      <c r="J118" s="11">
        <f>VLOOKUP(E118,'Dự thu chiết khấu'!$L$3:$P$226,5,0)</f>
        <v>749000000</v>
      </c>
      <c r="K118" s="12">
        <f t="shared" si="13"/>
        <v>44940000</v>
      </c>
      <c r="L118" s="12">
        <f t="shared" si="14"/>
        <v>0</v>
      </c>
      <c r="M118" s="13">
        <f>IFERROR(VLOOKUP(E118,'Dự thu chiết khấu'!$L$3:$R$226,7,0),0)</f>
        <v>0</v>
      </c>
      <c r="N118" s="14">
        <f>IFERROR(VLOOKUP(E118,'Dự thu chiết khấu'!$L$3:$S$226,8,0),0)</f>
        <v>0</v>
      </c>
      <c r="O118" s="11">
        <f>IF(IFERROR(VLOOKUP(E118,'Dự thu chiết khấu'!$L$3:$T$226,9,0),0)&gt;0,J118*$O$5,0)</f>
        <v>0</v>
      </c>
      <c r="P118" s="13">
        <f>IFERROR(VLOOKUP(E118,'Dự thu chiết khấu'!$L$3:$U$226,10,0),0)</f>
        <v>0</v>
      </c>
      <c r="Q118" s="12">
        <f>IFERROR(VLOOKUP(E118,'Dự thu chiết khấu'!$L$3:$V$226,11,0),0)</f>
        <v>0</v>
      </c>
      <c r="R118" s="12">
        <f>VLOOKUP($E118,'Dự thu chiết khấu'!$L$3:$W$226,12,0)</f>
        <v>8000000</v>
      </c>
      <c r="S118" s="12">
        <f t="shared" si="10"/>
        <v>632781818.18181813</v>
      </c>
      <c r="T118" s="11">
        <f t="shared" si="11"/>
        <v>0.18181812763214111</v>
      </c>
      <c r="U118" s="15">
        <f>SUMIFS('DT-GV'!$N$6:$N$213,'DT-GV'!$H$6:$H$213,E118,'DT-GV'!$R$6:$R$213,"&lt;&gt;0")</f>
        <v>632781818</v>
      </c>
      <c r="V118" s="48">
        <f>SUMIFS('DT-GV'!$N$6:$N$213,'DT-GV'!$H$6:$H$213,E118,'DT-GV'!$R$6:$R$213,0)</f>
        <v>0</v>
      </c>
      <c r="W118" s="15">
        <f>-SUMIFS('DT-GV'!$R$6:$R$213,'DT-GV'!$H$6:$H$213,E118)</f>
        <v>-653672727</v>
      </c>
      <c r="X118" s="11">
        <f>IFERROR(VLOOKUP($E118,'Dự thu chiết khấu'!$L$3:$AK$226,26,0)/1.1,0)</f>
        <v>39220363.636363633</v>
      </c>
      <c r="Y118" s="11">
        <f>IFERROR(VLOOKUP($E118,'Dự thu chiết khấu'!$L$3:$BE$226,46,0)/1.1,0)</f>
        <v>0</v>
      </c>
      <c r="Z118" s="11">
        <f>-SUMIF('Lương năng suất'!$R$4:$R$208,E118,'Lương năng suất'!$AQ$4:$AQ$208)</f>
        <v>-11000000</v>
      </c>
      <c r="AA118" s="213" t="str">
        <f>IFERROR(IF(ISNUMBER(SEARCH("TẶNG",VLOOKUP(E118,'Dự thu chiết khấu'!$L$3:$AV$226,37,0))),"TẶNG",""),"")</f>
        <v/>
      </c>
      <c r="AB118" s="213" t="str">
        <f>IFERROR(IF(ISNUMBER(SEARCH("TẶNG",VLOOKUP(E118,'Dự thu chiết khấu'!$L$3:$AW$226,38,0))),"TẶNG",""),"")</f>
        <v/>
      </c>
      <c r="AC118" s="49">
        <f t="shared" si="12"/>
        <v>7329454.636363633</v>
      </c>
      <c r="AD118" s="11">
        <f>IFERROR(VLOOKUP(E118,'Dự thu chiết khấu'!$L$3:$AM$226,28,0),0)</f>
        <v>0</v>
      </c>
      <c r="AE118" s="11">
        <f>IFERROR(VLOOKUP(E118,'Dự thu chiết khấu'!$L$3:$AN$226,29,0),0)</f>
        <v>0</v>
      </c>
      <c r="AF118" s="11">
        <f>IFERROR(VLOOKUP(E118,'Dự thu chiết khấu'!$L$3:$AO$226,30,0),0)</f>
        <v>0</v>
      </c>
    </row>
    <row r="119" spans="1:32">
      <c r="A119" s="11">
        <v>113</v>
      </c>
      <c r="B119" t="str">
        <f>IFERROR(INDEX('Dự thu chiết khấu'!$E:$E,MATCH(E119,'Dự thu chiết khấu'!$L:$L,0)),"")</f>
        <v>BÙI XUÂN MINH</v>
      </c>
      <c r="C119" s="51" t="str">
        <f>IFERROR(INDEX('Dự thu chiết khấu'!$F:$F,MATCH(E119,'Dự thu chiết khấu'!$L:$L,0)),"")</f>
        <v>HỨA NGUYỄN TRỌNG TOÀN</v>
      </c>
      <c r="D119" s="4" t="str">
        <f>IFERROR(INDEX('Dự thu chiết khấu'!$H:$H,MATCH(E119,'Dự thu chiết khấu'!$L:$L,0)),"")</f>
        <v>VF 5</v>
      </c>
      <c r="E119" s="4" t="str">
        <f>'Dự thu chiết khấu'!L116</f>
        <v>RLNV5JSE1TH743467</v>
      </c>
      <c r="F119" s="5" t="s">
        <v>104</v>
      </c>
      <c r="G119" s="5" t="str" cm="1">
        <f t="array" ref="G119">IFERROR(INDEX('DT-GV'!$X$6:$X$213,MATCH(1,('DT-GV'!$H$6:$H$213=E119)*('DT-GV'!$R$6:$R$213&lt;&gt;0),0)),IFERROR(VLOOKUP(E119,'DT-GV'!$H$6:$X$213,17,0),""))</f>
        <v>SLKD</v>
      </c>
      <c r="H119" s="6" t="str">
        <f>VLOOKUP(E119,'Dự thu chiết khấu'!$L$3:$M$226,2,0)</f>
        <v>S11007</v>
      </c>
      <c r="I119">
        <v>1</v>
      </c>
      <c r="J119" s="11">
        <f>VLOOKUP(E119,'Dự thu chiết khấu'!$L$3:$P$226,5,0)</f>
        <v>529000000</v>
      </c>
      <c r="K119" s="12">
        <f t="shared" si="13"/>
        <v>31740000</v>
      </c>
      <c r="L119" s="12">
        <f t="shared" si="14"/>
        <v>0</v>
      </c>
      <c r="M119" s="13">
        <f>IFERROR(VLOOKUP(E119,'Dự thu chiết khấu'!$L$3:$R$226,7,0),0)</f>
        <v>0</v>
      </c>
      <c r="N119" s="14">
        <f>IFERROR(VLOOKUP(E119,'Dự thu chiết khấu'!$L$3:$S$226,8,0),0)</f>
        <v>5.0000000000000001E-3</v>
      </c>
      <c r="O119" s="11">
        <f>IF(IFERROR(VLOOKUP(E119,'Dự thu chiết khấu'!$L$3:$T$226,9,0),0)&gt;0,J119*$O$5,0)</f>
        <v>15870000</v>
      </c>
      <c r="P119" s="13">
        <f>IFERROR(VLOOKUP(E119,'Dự thu chiết khấu'!$L$3:$U$226,10,0),0)</f>
        <v>0</v>
      </c>
      <c r="Q119" s="12">
        <f>IFERROR(VLOOKUP(E119,'Dự thu chiết khấu'!$L$3:$V$226,11,0),0)</f>
        <v>0</v>
      </c>
      <c r="R119" s="12">
        <f>VLOOKUP($E119,'Dự thu chiết khấu'!$L$3:$W$226,12,0)</f>
        <v>10000000</v>
      </c>
      <c r="S119" s="12">
        <f t="shared" si="10"/>
        <v>426348227.27272725</v>
      </c>
      <c r="T119" s="11">
        <f t="shared" si="11"/>
        <v>0.27272725105285645</v>
      </c>
      <c r="U119" s="15">
        <f>SUMIFS('DT-GV'!$N$6:$N$213,'DT-GV'!$H$6:$H$213,E119,'DT-GV'!$R$6:$R$213,"&lt;&gt;0")</f>
        <v>426348227</v>
      </c>
      <c r="V119" s="48">
        <f>SUMIFS('DT-GV'!$N$6:$N$213,'DT-GV'!$H$6:$H$213,E119,'DT-GV'!$R$6:$R$213,0)</f>
        <v>0</v>
      </c>
      <c r="W119" s="15">
        <f>-SUMIFS('DT-GV'!$R$6:$R$213,'DT-GV'!$H$6:$H$213,E119)</f>
        <v>-461672727</v>
      </c>
      <c r="X119" s="11">
        <f>IFERROR(VLOOKUP($E119,'Dự thu chiết khấu'!$L$3:$AK$226,26,0)/1.1,0)</f>
        <v>43651156.36363636</v>
      </c>
      <c r="Y119" s="11">
        <f>IFERROR(VLOOKUP($E119,'Dự thu chiết khấu'!$L$3:$BE$226,46,0)/1.1,0)</f>
        <v>4354391.3636363633</v>
      </c>
      <c r="Z119" s="11">
        <f>-SUMIF('Lương năng suất'!$R$4:$R$208,E119,'Lương năng suất'!$AQ$4:$AQ$208)</f>
        <v>-4800000</v>
      </c>
      <c r="AA119" s="213" t="str">
        <f>IFERROR(IF(ISNUMBER(SEARCH("TẶNG",VLOOKUP(E119,'Dự thu chiết khấu'!$L$3:$AV$226,37,0))),"TẶNG",""),"")</f>
        <v/>
      </c>
      <c r="AB119" s="213" t="str">
        <f>IFERROR(IF(ISNUMBER(SEARCH("TẶNG",VLOOKUP(E119,'Dự thu chiết khấu'!$L$3:$AW$226,38,0))),"TẶNG",""),"")</f>
        <v/>
      </c>
      <c r="AC119" s="49">
        <f t="shared" si="12"/>
        <v>7881047.7272727229</v>
      </c>
      <c r="AD119" s="11">
        <f>IFERROR(VLOOKUP(E119,'Dự thu chiết khấu'!$L$3:$AM$226,28,0),0)</f>
        <v>0</v>
      </c>
      <c r="AE119" s="11">
        <f>IFERROR(VLOOKUP(E119,'Dự thu chiết khấu'!$L$3:$AN$226,29,0),0)</f>
        <v>0</v>
      </c>
      <c r="AF119" s="11">
        <f>IFERROR(VLOOKUP(E119,'Dự thu chiết khấu'!$L$3:$AO$226,30,0),0)</f>
        <v>0</v>
      </c>
    </row>
    <row r="120" spans="1:32">
      <c r="A120">
        <v>114</v>
      </c>
      <c r="B120" t="str">
        <f>IFERROR(INDEX('Dự thu chiết khấu'!$E:$E,MATCH(E120,'Dự thu chiết khấu'!$L:$L,0)),"")</f>
        <v>ĐOÀN VĂN CƯƠNG</v>
      </c>
      <c r="C120" s="51" t="str">
        <f>IFERROR(INDEX('Dự thu chiết khấu'!$F:$F,MATCH(E120,'Dự thu chiết khấu'!$L:$L,0)),"")</f>
        <v>NGÔ PHƯƠNG THÙY</v>
      </c>
      <c r="D120" s="4" t="str">
        <f>IFERROR(INDEX('Dự thu chiết khấu'!$H:$H,MATCH(E120,'Dự thu chiết khấu'!$L:$L,0)),"")</f>
        <v>VF 3</v>
      </c>
      <c r="E120" s="4" t="str">
        <f>'Dự thu chiết khấu'!L117</f>
        <v>RLNVBL9K9TT716675</v>
      </c>
      <c r="F120" s="5" t="s">
        <v>104</v>
      </c>
      <c r="G120" s="5" t="str" cm="1">
        <f t="array" ref="G120">IFERROR(INDEX('DT-GV'!$X$6:$X$213,MATCH(1,('DT-GV'!$H$6:$H$213=E120)*('DT-GV'!$R$6:$R$213&lt;&gt;0),0)),IFERROR(VLOOKUP(E120,'DT-GV'!$H$6:$X$213,17,0),""))</f>
        <v>SLKD</v>
      </c>
      <c r="H120" s="6" t="str">
        <f>VLOOKUP(E120,'Dự thu chiết khấu'!$L$3:$M$226,2,0)</f>
        <v>S11007</v>
      </c>
      <c r="I120">
        <v>1</v>
      </c>
      <c r="J120" s="11">
        <f>VLOOKUP(E120,'Dự thu chiết khấu'!$L$3:$P$226,5,0)</f>
        <v>315000000</v>
      </c>
      <c r="K120" s="12">
        <f t="shared" si="13"/>
        <v>18900000</v>
      </c>
      <c r="L120" s="12">
        <f t="shared" si="14"/>
        <v>0</v>
      </c>
      <c r="M120" s="13">
        <f>IFERROR(VLOOKUP(E120,'Dự thu chiết khấu'!$L$3:$R$226,7,0),0)</f>
        <v>0</v>
      </c>
      <c r="N120" s="14">
        <f>IFERROR(VLOOKUP(E120,'Dự thu chiết khấu'!$L$3:$S$226,8,0),0)</f>
        <v>0</v>
      </c>
      <c r="O120" s="11">
        <f>IF(IFERROR(VLOOKUP(E120,'Dự thu chiết khấu'!$L$3:$T$226,9,0),0)&gt;0,J120*$O$5,0)</f>
        <v>0</v>
      </c>
      <c r="P120" s="13">
        <f>IFERROR(VLOOKUP(E120,'Dự thu chiết khấu'!$L$3:$U$226,10,0),0)</f>
        <v>0</v>
      </c>
      <c r="Q120" s="12">
        <f>IFERROR(VLOOKUP(E120,'Dự thu chiết khấu'!$L$3:$V$226,11,0),0)</f>
        <v>0</v>
      </c>
      <c r="R120" s="12">
        <f>VLOOKUP($E120,'Dự thu chiết khấu'!$L$3:$W$226,12,0)</f>
        <v>0</v>
      </c>
      <c r="S120" s="12">
        <f t="shared" si="10"/>
        <v>269181818.18181819</v>
      </c>
      <c r="T120" s="11">
        <f t="shared" si="11"/>
        <v>0.18181818723678589</v>
      </c>
      <c r="U120" s="15">
        <f>SUMIFS('DT-GV'!$N$6:$N$213,'DT-GV'!$H$6:$H$213,E120,'DT-GV'!$R$6:$R$213,"&lt;&gt;0")</f>
        <v>269181818</v>
      </c>
      <c r="V120" s="48">
        <f>SUMIFS('DT-GV'!$N$6:$N$213,'DT-GV'!$H$6:$H$213,E120,'DT-GV'!$R$6:$R$213,0)</f>
        <v>0</v>
      </c>
      <c r="W120" s="15">
        <f>-SUMIFS('DT-GV'!$R$6:$R$213,'DT-GV'!$H$6:$H$213,E120)</f>
        <v>-274909091</v>
      </c>
      <c r="X120" s="11">
        <f>IFERROR(VLOOKUP($E120,'Dự thu chiết khấu'!$L$3:$AK$226,26,0)/1.1,0)</f>
        <v>16494545.454545453</v>
      </c>
      <c r="Y120" s="11">
        <f>IFERROR(VLOOKUP($E120,'Dự thu chiết khấu'!$L$3:$BE$226,46,0)/1.1,0)</f>
        <v>2691818.1818181816</v>
      </c>
      <c r="Z120" s="11">
        <f>-SUMIF('Lương năng suất'!$R$4:$R$208,E120,'Lương năng suất'!$AQ$4:$AQ$208)</f>
        <v>-6800000</v>
      </c>
      <c r="AA120" s="213" t="str">
        <f>IFERROR(IF(ISNUMBER(SEARCH("TẶNG",VLOOKUP(E120,'Dự thu chiết khấu'!$L$3:$AV$226,37,0))),"TẶNG",""),"")</f>
        <v/>
      </c>
      <c r="AB120" s="213" t="str">
        <f>IFERROR(IF(ISNUMBER(SEARCH("TẶNG",VLOOKUP(E120,'Dự thu chiết khấu'!$L$3:$AW$226,38,0))),"TẶNG",""),"")</f>
        <v/>
      </c>
      <c r="AC120" s="49">
        <f t="shared" si="12"/>
        <v>6659090.6363636348</v>
      </c>
      <c r="AD120" s="11">
        <f>IFERROR(VLOOKUP(E120,'Dự thu chiết khấu'!$L$3:$AM$226,28,0),0)</f>
        <v>0</v>
      </c>
      <c r="AE120" s="11">
        <f>IFERROR(VLOOKUP(E120,'Dự thu chiết khấu'!$L$3:$AN$226,29,0),0)</f>
        <v>0</v>
      </c>
      <c r="AF120" s="11">
        <f>IFERROR(VLOOKUP(E120,'Dự thu chiết khấu'!$L$3:$AO$226,30,0),0)</f>
        <v>5000000</v>
      </c>
    </row>
    <row r="121" spans="1:32">
      <c r="A121" s="11">
        <v>115</v>
      </c>
      <c r="B121" t="str">
        <f>IFERROR(INDEX('Dự thu chiết khấu'!$E:$E,MATCH(E121,'Dự thu chiết khấu'!$L:$L,0)),"")</f>
        <v>TỪ NỮ BÉ MI</v>
      </c>
      <c r="C121" s="51" t="str">
        <f>IFERROR(INDEX('Dự thu chiết khấu'!$F:$F,MATCH(E121,'Dự thu chiết khấu'!$L:$L,0)),"")</f>
        <v>TỪ NŨ BÉ MI</v>
      </c>
      <c r="D121" s="4" t="str">
        <f>IFERROR(INDEX('Dự thu chiết khấu'!$H:$H,MATCH(E121,'Dự thu chiết khấu'!$L:$L,0)),"")</f>
        <v>VF 7</v>
      </c>
      <c r="E121" s="4" t="str">
        <f>'Dự thu chiết khấu'!L118</f>
        <v>RLLV3EKB2TH748026</v>
      </c>
      <c r="F121" s="5" t="s">
        <v>104</v>
      </c>
      <c r="G121" s="5" t="str" cm="1">
        <f t="array" ref="G121">IFERROR(INDEX('DT-GV'!$X$6:$X$213,MATCH(1,('DT-GV'!$H$6:$H$213=E121)*('DT-GV'!$R$6:$R$213&lt;&gt;0),0)),IFERROR(VLOOKUP(E121,'DT-GV'!$H$6:$X$213,17,0),""))</f>
        <v>SLKD</v>
      </c>
      <c r="H121" s="8" t="str">
        <f>VLOOKUP(E121,'Dự thu chiết khấu'!$L$3:$M$226,2,0)</f>
        <v>S11007</v>
      </c>
      <c r="I121">
        <v>1</v>
      </c>
      <c r="J121" s="11">
        <f>VLOOKUP(E121,'Dự thu chiết khấu'!$L$3:$P$226,5,0)</f>
        <v>939000000</v>
      </c>
      <c r="K121" s="12">
        <f t="shared" si="13"/>
        <v>56340000</v>
      </c>
      <c r="L121" s="12">
        <f t="shared" si="14"/>
        <v>0</v>
      </c>
      <c r="M121" s="13">
        <f>IFERROR(VLOOKUP(E121,'Dự thu chiết khấu'!$L$3:$R$226,7,0),0)</f>
        <v>0</v>
      </c>
      <c r="N121" s="14">
        <f>IFERROR(VLOOKUP(E121,'Dự thu chiết khấu'!$L$3:$S$226,8,0),0)</f>
        <v>0</v>
      </c>
      <c r="O121" s="11">
        <f>IF(IFERROR(VLOOKUP(E121,'Dự thu chiết khấu'!$L$3:$T$226,9,0),0)&gt;0,J121*$O$5,0)</f>
        <v>0</v>
      </c>
      <c r="P121" s="13">
        <f>IFERROR(VLOOKUP(E121,'Dự thu chiết khấu'!$L$3:$U$226,10,0),0)</f>
        <v>0.03</v>
      </c>
      <c r="Q121" s="12">
        <f>IFERROR(VLOOKUP(E121,'Dự thu chiết khấu'!$L$3:$V$226,11,0),0)</f>
        <v>0</v>
      </c>
      <c r="R121" s="12">
        <f>VLOOKUP($E121,'Dự thu chiết khấu'!$L$3:$W$226,12,0)</f>
        <v>15000000</v>
      </c>
      <c r="S121" s="12">
        <f t="shared" si="10"/>
        <v>763172727.27272725</v>
      </c>
      <c r="T121" s="11">
        <f t="shared" si="11"/>
        <v>0.27272725105285645</v>
      </c>
      <c r="U121" s="15">
        <f>SUMIFS('DT-GV'!$N$6:$N$213,'DT-GV'!$H$6:$H$213,E121,'DT-GV'!$R$6:$R$213,"&lt;&gt;0")</f>
        <v>763172727</v>
      </c>
      <c r="V121" s="48">
        <f>SUMIFS('DT-GV'!$N$6:$N$213,'DT-GV'!$H$6:$H$213,E121,'DT-GV'!$R$6:$R$213,0)</f>
        <v>0</v>
      </c>
      <c r="W121" s="15">
        <f>-SUMIFS('DT-GV'!$R$6:$R$213,'DT-GV'!$H$6:$H$213,E121)</f>
        <v>-815222727</v>
      </c>
      <c r="X121" s="11">
        <f>IFERROR(VLOOKUP($E121,'Dự thu chiết khấu'!$L$3:$AK$226,26,0)/1.1,0)</f>
        <v>60565499.999999993</v>
      </c>
      <c r="Y121" s="11">
        <f>IFERROR(VLOOKUP($E121,'Dự thu chiết khấu'!$L$3:$BE$226,46,0)/1.1,0)</f>
        <v>7768090.9090909082</v>
      </c>
      <c r="Z121" s="11">
        <f>-SUMIF('Lương năng suất'!$R$4:$R$208,E121,'Lương năng suất'!$AQ$4:$AQ$208)</f>
        <v>800000</v>
      </c>
      <c r="AA121" s="213" t="str">
        <f>IFERROR(IF(ISNUMBER(SEARCH("TẶNG",VLOOKUP(E121,'Dự thu chiết khấu'!$L$3:$AV$226,37,0))),"TẶNG",""),"")</f>
        <v/>
      </c>
      <c r="AB121" s="213" t="str">
        <f>IFERROR(IF(ISNUMBER(SEARCH("TẶNG",VLOOKUP(E121,'Dự thu chiết khấu'!$L$3:$AW$226,38,0))),"TẶNG",""),"")</f>
        <v/>
      </c>
      <c r="AC121" s="49">
        <f t="shared" si="12"/>
        <v>17083590.909090899</v>
      </c>
      <c r="AD121" s="11">
        <f>IFERROR(VLOOKUP(E121,'Dự thu chiết khấu'!$L$3:$AM$226,28,0),0)</f>
        <v>0</v>
      </c>
      <c r="AE121" s="11">
        <f>IFERROR(VLOOKUP(E121,'Dự thu chiết khấu'!$L$3:$AN$226,29,0),0)</f>
        <v>0</v>
      </c>
      <c r="AF121" s="11">
        <f>IFERROR(VLOOKUP(E121,'Dự thu chiết khấu'!$L$3:$AO$226,30,0),0)</f>
        <v>15000000</v>
      </c>
    </row>
    <row r="122" spans="1:32">
      <c r="A122">
        <v>116</v>
      </c>
      <c r="B122" t="str">
        <f>IFERROR(INDEX('Dự thu chiết khấu'!$E:$E,MATCH(E122,'Dự thu chiết khấu'!$L:$L,0)),"")</f>
        <v>VÕ VĂN KIÊN</v>
      </c>
      <c r="C122" s="51" t="str">
        <f>IFERROR(INDEX('Dự thu chiết khấu'!$F:$F,MATCH(E122,'Dự thu chiết khấu'!$L:$L,0)),"")</f>
        <v>NGUYỄN TRUNG THỊNH</v>
      </c>
      <c r="D122" s="4" t="str">
        <f>IFERROR(INDEX('Dự thu chiết khấu'!$H:$H,MATCH(E122,'Dự thu chiết khấu'!$L:$L,0)),"")</f>
        <v>VF 5</v>
      </c>
      <c r="E122" s="4" t="str">
        <f>'Dự thu chiết khấu'!L119</f>
        <v>RLNV5JSEXTH743418</v>
      </c>
      <c r="F122" s="5" t="s">
        <v>104</v>
      </c>
      <c r="G122" s="5" t="str" cm="1">
        <f t="array" ref="G122">IFERROR(INDEX('DT-GV'!$X$6:$X$213,MATCH(1,('DT-GV'!$H$6:$H$213=E122)*('DT-GV'!$R$6:$R$213&lt;&gt;0),0)),IFERROR(VLOOKUP(E122,'DT-GV'!$H$6:$X$213,17,0),""))</f>
        <v>SLKD</v>
      </c>
      <c r="H122" s="6" t="str">
        <f>VLOOKUP(E122,'Dự thu chiết khấu'!$L$3:$M$226,2,0)</f>
        <v>S11007</v>
      </c>
      <c r="I122">
        <v>1</v>
      </c>
      <c r="J122" s="11">
        <f>VLOOKUP(E122,'Dự thu chiết khấu'!$L$3:$P$226,5,0)</f>
        <v>529000000</v>
      </c>
      <c r="K122" s="12">
        <f t="shared" si="13"/>
        <v>31740000</v>
      </c>
      <c r="L122" s="12">
        <f t="shared" si="14"/>
        <v>0</v>
      </c>
      <c r="M122" s="13">
        <f>IFERROR(VLOOKUP(E122,'Dự thu chiết khấu'!$L$3:$R$226,7,0),0)</f>
        <v>0</v>
      </c>
      <c r="N122" s="14">
        <f>IFERROR(VLOOKUP(E122,'Dự thu chiết khấu'!$L$3:$S$226,8,0),0)</f>
        <v>0</v>
      </c>
      <c r="O122" s="11">
        <f>IF(IFERROR(VLOOKUP(E122,'Dự thu chiết khấu'!$L$3:$T$226,9,0),0)&gt;0,J122*$O$5,0)</f>
        <v>0</v>
      </c>
      <c r="P122" s="13">
        <f>IFERROR(VLOOKUP(E122,'Dự thu chiết khấu'!$L$3:$U$226,10,0),0)</f>
        <v>0</v>
      </c>
      <c r="Q122" s="12">
        <f>IFERROR(VLOOKUP(E122,'Dự thu chiết khấu'!$L$3:$V$226,11,0),0)</f>
        <v>0</v>
      </c>
      <c r="R122" s="12">
        <f>VLOOKUP($E122,'Dự thu chiết khấu'!$L$3:$W$226,12,0)</f>
        <v>5000000</v>
      </c>
      <c r="S122" s="12">
        <f t="shared" si="10"/>
        <v>447509090.90909088</v>
      </c>
      <c r="T122" s="11">
        <f t="shared" si="11"/>
        <v>-9.0909123420715332E-2</v>
      </c>
      <c r="U122" s="15">
        <f>SUMIFS('DT-GV'!$N$6:$N$213,'DT-GV'!$H$6:$H$213,E122,'DT-GV'!$R$6:$R$213,"&lt;&gt;0")</f>
        <v>447509091</v>
      </c>
      <c r="V122" s="48">
        <f>SUMIFS('DT-GV'!$N$6:$N$213,'DT-GV'!$H$6:$H$213,E122,'DT-GV'!$R$6:$R$213,0)</f>
        <v>0</v>
      </c>
      <c r="W122" s="15">
        <f>-SUMIFS('DT-GV'!$R$6:$R$213,'DT-GV'!$H$6:$H$213,E122)</f>
        <v>-461672727</v>
      </c>
      <c r="X122" s="11">
        <f>IFERROR(VLOOKUP($E122,'Dự thu chiết khấu'!$L$3:$AK$226,26,0)/1.1,0)</f>
        <v>27700363.636363633</v>
      </c>
      <c r="Y122" s="11">
        <f>IFERROR(VLOOKUP($E122,'Dự thu chiết khấu'!$L$3:$BE$226,46,0)/1.1,0)</f>
        <v>4520545.4545454541</v>
      </c>
      <c r="Z122" s="11">
        <f>-SUMIF('Lương năng suất'!$R$4:$R$208,E122,'Lương năng suất'!$AQ$4:$AQ$208)</f>
        <v>-11000000</v>
      </c>
      <c r="AA122" s="213" t="str">
        <f>IFERROR(IF(ISNUMBER(SEARCH("TẶNG",VLOOKUP(E122,'Dự thu chiết khấu'!$L$3:$AV$226,37,0))),"TẶNG",""),"")</f>
        <v/>
      </c>
      <c r="AB122" s="213" t="str">
        <f>IFERROR(IF(ISNUMBER(SEARCH("TẶNG",VLOOKUP(E122,'Dự thu chiết khấu'!$L$3:$AW$226,38,0))),"TẶNG",""),"")</f>
        <v/>
      </c>
      <c r="AC122" s="49">
        <f t="shared" si="12"/>
        <v>7057273.0909090862</v>
      </c>
      <c r="AD122" s="11">
        <f>IFERROR(VLOOKUP(E122,'Dự thu chiết khấu'!$L$3:$AM$226,28,0),0)</f>
        <v>0</v>
      </c>
      <c r="AE122" s="11">
        <f>IFERROR(VLOOKUP(E122,'Dự thu chiết khấu'!$L$3:$AN$226,29,0),0)</f>
        <v>0</v>
      </c>
      <c r="AF122" s="11">
        <f>IFERROR(VLOOKUP(E122,'Dự thu chiết khấu'!$L$3:$AO$226,30,0),0)</f>
        <v>0</v>
      </c>
    </row>
    <row r="123" spans="1:32">
      <c r="A123" s="11">
        <v>117</v>
      </c>
      <c r="B123" t="str">
        <f>IFERROR(INDEX('Dự thu chiết khấu'!$E:$E,MATCH(E123,'Dự thu chiết khấu'!$L:$L,0)),"")</f>
        <v>VŨ THỊ BÍCH HẰNG</v>
      </c>
      <c r="C123" s="51" t="str">
        <f>IFERROR(INDEX('Dự thu chiết khấu'!$F:$F,MATCH(E123,'Dự thu chiết khấu'!$L:$L,0)),"")</f>
        <v>NGUYỄN CÔNG DUY</v>
      </c>
      <c r="D123" s="4" t="str">
        <f>IFERROR(INDEX('Dự thu chiết khấu'!$H:$H,MATCH(E123,'Dự thu chiết khấu'!$L:$L,0)),"")</f>
        <v>VF 3</v>
      </c>
      <c r="E123" s="4" t="str">
        <f>'Dự thu chiết khấu'!L120</f>
        <v>RLNVBL9K9TT713467</v>
      </c>
      <c r="F123" s="5" t="s">
        <v>104</v>
      </c>
      <c r="G123" s="5" t="str" cm="1">
        <f t="array" ref="G123">IFERROR(INDEX('DT-GV'!$X$6:$X$213,MATCH(1,('DT-GV'!$H$6:$H$213=E123)*('DT-GV'!$R$6:$R$213&lt;&gt;0),0)),IFERROR(VLOOKUP(E123,'DT-GV'!$H$6:$X$213,17,0),""))</f>
        <v>SLKD</v>
      </c>
      <c r="H123" s="6" t="str">
        <f>VLOOKUP(E123,'Dự thu chiết khấu'!$L$3:$M$226,2,0)</f>
        <v>S11007</v>
      </c>
      <c r="I123">
        <v>1</v>
      </c>
      <c r="J123" s="11">
        <f>VLOOKUP(E123,'Dự thu chiết khấu'!$L$3:$P$226,5,0)</f>
        <v>315000000</v>
      </c>
      <c r="K123" s="12">
        <f t="shared" si="13"/>
        <v>18900000</v>
      </c>
      <c r="L123" s="12">
        <f t="shared" si="14"/>
        <v>0</v>
      </c>
      <c r="M123" s="13">
        <f>IFERROR(VLOOKUP(E123,'Dự thu chiết khấu'!$L$3:$R$226,7,0),0)</f>
        <v>0</v>
      </c>
      <c r="N123" s="14">
        <f>IFERROR(VLOOKUP(E123,'Dự thu chiết khấu'!$L$3:$S$226,8,0),0)</f>
        <v>0</v>
      </c>
      <c r="O123" s="11">
        <f>IF(IFERROR(VLOOKUP(E123,'Dự thu chiết khấu'!$L$3:$T$226,9,0),0)&gt;0,J123*$O$5,0)</f>
        <v>9450000</v>
      </c>
      <c r="P123" s="13">
        <f>IFERROR(VLOOKUP(E123,'Dự thu chiết khấu'!$L$3:$U$226,10,0),0)</f>
        <v>0</v>
      </c>
      <c r="Q123" s="12">
        <f>IFERROR(VLOOKUP(E123,'Dự thu chiết khấu'!$L$3:$V$226,11,0),0)</f>
        <v>0</v>
      </c>
      <c r="R123" s="12">
        <f>VLOOKUP($E123,'Dự thu chiết khấu'!$L$3:$W$226,12,0)</f>
        <v>2000000</v>
      </c>
      <c r="S123" s="12">
        <f t="shared" si="10"/>
        <v>258772727.27272725</v>
      </c>
      <c r="T123" s="11">
        <f t="shared" si="11"/>
        <v>0.27272725105285645</v>
      </c>
      <c r="U123" s="15">
        <f>SUMIFS('DT-GV'!$N$6:$N$213,'DT-GV'!$H$6:$H$213,E123,'DT-GV'!$R$6:$R$213,"&lt;&gt;0")</f>
        <v>258772727</v>
      </c>
      <c r="V123" s="48">
        <f>SUMIFS('DT-GV'!$N$6:$N$213,'DT-GV'!$H$6:$H$213,E123,'DT-GV'!$R$6:$R$213,0)</f>
        <v>0</v>
      </c>
      <c r="W123" s="15">
        <f>-SUMIFS('DT-GV'!$R$6:$R$213,'DT-GV'!$H$6:$H$213,E123)</f>
        <v>-274909091</v>
      </c>
      <c r="X123" s="11">
        <f>IFERROR(VLOOKUP($E123,'Dự thu chiết khấu'!$L$3:$AK$226,26,0)/1.1,0)</f>
        <v>24741818.18181818</v>
      </c>
      <c r="Y123" s="11">
        <f>IFERROR(VLOOKUP($E123,'Dự thu chiết khấu'!$L$3:$BE$226,46,0)/1.1,0)</f>
        <v>2605909.0909090908</v>
      </c>
      <c r="Z123" s="11">
        <f>-SUMIF('Lương năng suất'!$R$4:$R$208,E123,'Lương năng suất'!$AQ$4:$AQ$208)</f>
        <v>-5200000</v>
      </c>
      <c r="AA123" s="213" t="str">
        <f>IFERROR(IF(ISNUMBER(SEARCH("TẶNG",VLOOKUP(E123,'Dự thu chiết khấu'!$L$3:$AV$226,37,0))),"TẶNG",""),"")</f>
        <v/>
      </c>
      <c r="AB123" s="213" t="str">
        <f>IFERROR(IF(ISNUMBER(SEARCH("TẶNG",VLOOKUP(E123,'Dự thu chiết khấu'!$L$3:$AW$226,38,0))),"TẶNG",""),"")</f>
        <v/>
      </c>
      <c r="AC123" s="49">
        <f t="shared" si="12"/>
        <v>6011363.2727272697</v>
      </c>
      <c r="AD123" s="11">
        <f>IFERROR(VLOOKUP(E123,'Dự thu chiết khấu'!$L$3:$AM$226,28,0),0)</f>
        <v>0</v>
      </c>
      <c r="AE123" s="11">
        <f>IFERROR(VLOOKUP(E123,'Dự thu chiết khấu'!$L$3:$AN$226,29,0),0)</f>
        <v>0</v>
      </c>
      <c r="AF123" s="11">
        <f>IFERROR(VLOOKUP(E123,'Dự thu chiết khấu'!$L$3:$AO$226,30,0),0)</f>
        <v>0</v>
      </c>
    </row>
    <row r="124" spans="1:32">
      <c r="A124">
        <v>118</v>
      </c>
      <c r="B124" t="str">
        <f>IFERROR(INDEX('Dự thu chiết khấu'!$E:$E,MATCH(E124,'Dự thu chiết khấu'!$L:$L,0)),"")</f>
        <v>Trịnh Trung Tín</v>
      </c>
      <c r="C124" s="51" t="str">
        <f>IFERROR(INDEX('Dự thu chiết khấu'!$F:$F,MATCH(E124,'Dự thu chiết khấu'!$L:$L,0)),"")</f>
        <v>HUỲNH THỊ BÉ GIANG</v>
      </c>
      <c r="D124" s="4" t="str">
        <f>IFERROR(INDEX('Dự thu chiết khấu'!$H:$H,MATCH(E124,'Dự thu chiết khấu'!$L:$L,0)),"")</f>
        <v>VF 3</v>
      </c>
      <c r="E124" s="4" t="str">
        <f>'Dự thu chiết khấu'!L121</f>
        <v>RLNVBL9K3TT716168</v>
      </c>
      <c r="F124" s="5" t="s">
        <v>100</v>
      </c>
      <c r="G124" s="5" t="str" cm="1">
        <f t="array" ref="G124">IFERROR(INDEX('DT-GV'!$X$6:$X$213,MATCH(1,('DT-GV'!$H$6:$H$213=E124)*('DT-GV'!$R$6:$R$213&lt;&gt;0),0)),IFERROR(VLOOKUP(E124,'DT-GV'!$H$6:$X$213,17,0),""))</f>
        <v>LAKD</v>
      </c>
      <c r="H124" s="7" t="str">
        <f>VLOOKUP(E124,'Dự thu chiết khấu'!$L$3:$M$226,2,0)</f>
        <v>S11001</v>
      </c>
      <c r="I124">
        <v>1</v>
      </c>
      <c r="J124" s="11">
        <f>VLOOKUP(E124,'Dự thu chiết khấu'!$L$3:$P$226,5,0)</f>
        <v>315000000</v>
      </c>
      <c r="K124" s="12">
        <f t="shared" si="13"/>
        <v>18900000</v>
      </c>
      <c r="L124" s="12">
        <f t="shared" si="14"/>
        <v>0</v>
      </c>
      <c r="M124" s="13">
        <f>IFERROR(VLOOKUP(E124,'Dự thu chiết khấu'!$L$3:$R$226,7,0),0)</f>
        <v>0</v>
      </c>
      <c r="N124" s="14">
        <f>IFERROR(VLOOKUP(E124,'Dự thu chiết khấu'!$L$3:$S$226,8,0),0)</f>
        <v>0</v>
      </c>
      <c r="O124" s="11">
        <f>IF(IFERROR(VLOOKUP(E124,'Dự thu chiết khấu'!$L$3:$T$226,9,0),0)&gt;0,J124*$O$5,0)</f>
        <v>0</v>
      </c>
      <c r="P124" s="13">
        <f>IFERROR(VLOOKUP(E124,'Dự thu chiết khấu'!$L$3:$U$226,10,0),0)</f>
        <v>0</v>
      </c>
      <c r="Q124" s="12">
        <f>IFERROR(VLOOKUP(E124,'Dự thu chiết khấu'!$L$3:$V$226,11,0),0)</f>
        <v>0</v>
      </c>
      <c r="R124" s="12">
        <f>VLOOKUP($E124,'Dự thu chiết khấu'!$L$3:$W$226,12,0)</f>
        <v>0</v>
      </c>
      <c r="S124" s="12">
        <f t="shared" si="10"/>
        <v>269181818.18181819</v>
      </c>
      <c r="T124" s="11">
        <f t="shared" si="11"/>
        <v>0.18181818723678589</v>
      </c>
      <c r="U124" s="15">
        <f>SUMIFS('DT-GV'!$N$6:$N$213,'DT-GV'!$H$6:$H$213,E124,'DT-GV'!$R$6:$R$213,"&lt;&gt;0")</f>
        <v>269181818</v>
      </c>
      <c r="V124" s="48">
        <f>SUMIFS('DT-GV'!$N$6:$N$213,'DT-GV'!$H$6:$H$213,E124,'DT-GV'!$R$6:$R$213,0)</f>
        <v>0</v>
      </c>
      <c r="W124" s="15">
        <f>-SUMIFS('DT-GV'!$R$6:$R$213,'DT-GV'!$H$6:$H$213,E124)</f>
        <v>-274909091</v>
      </c>
      <c r="X124" s="11">
        <f>IFERROR(VLOOKUP($E124,'Dự thu chiết khấu'!$L$3:$AK$226,26,0)/1.1,0)</f>
        <v>16494545.454545453</v>
      </c>
      <c r="Y124" s="11">
        <f>IFERROR(VLOOKUP($E124,'Dự thu chiết khấu'!$L$3:$BE$226,46,0)/1.1,0)</f>
        <v>0</v>
      </c>
      <c r="Z124" s="11">
        <f>-SUMIF('Lương năng suất'!$R$4:$R$208,E124,'Lương năng suất'!$AQ$4:$AQ$208)</f>
        <v>-5100000</v>
      </c>
      <c r="AA124" s="213" t="str">
        <f>IFERROR(IF(ISNUMBER(SEARCH("TẶNG",VLOOKUP(E124,'Dự thu chiết khấu'!$L$3:$AV$226,37,0))),"TẶNG",""),"")</f>
        <v>TẶNG</v>
      </c>
      <c r="AB124" s="213" t="str">
        <f>IFERROR(IF(ISNUMBER(SEARCH("TẶNG",VLOOKUP(E124,'Dự thu chiết khấu'!$L$3:$AW$226,38,0))),"TẶNG",""),"")</f>
        <v/>
      </c>
      <c r="AC124" s="49">
        <f t="shared" si="12"/>
        <v>5667272.4545454532</v>
      </c>
      <c r="AD124" s="11">
        <f>IFERROR(VLOOKUP(E124,'Dự thu chiết khấu'!$L$3:$AM$226,28,0),0)</f>
        <v>0</v>
      </c>
      <c r="AE124" s="11">
        <f>IFERROR(VLOOKUP(E124,'Dự thu chiết khấu'!$L$3:$AN$226,29,0),0)</f>
        <v>0</v>
      </c>
      <c r="AF124" s="11">
        <f>IFERROR(VLOOKUP(E124,'Dự thu chiết khấu'!$L$3:$AO$226,30,0),0)</f>
        <v>0</v>
      </c>
    </row>
    <row r="125" spans="1:32">
      <c r="A125" s="11">
        <v>119</v>
      </c>
      <c r="B125" t="str">
        <f>IFERROR(INDEX('Dự thu chiết khấu'!$E:$E,MATCH(E125,'Dự thu chiết khấu'!$L:$L,0)),"")</f>
        <v>Trần Minh Hiếu</v>
      </c>
      <c r="C125" s="51">
        <f>IFERROR(INDEX('Dự thu chiết khấu'!$F:$F,MATCH(E125,'Dự thu chiết khấu'!$L:$L,0)),"")</f>
        <v>0</v>
      </c>
      <c r="D125" s="4" t="str">
        <f>IFERROR(INDEX('Dự thu chiết khấu'!$H:$H,MATCH(E125,'Dự thu chiết khấu'!$L:$L,0)),"")</f>
        <v>LIMO GREEN</v>
      </c>
      <c r="E125" s="4" t="str">
        <f>'Dự thu chiết khấu'!L122</f>
        <v>RLLVFPNT6TH747484</v>
      </c>
      <c r="F125" s="5" t="s">
        <v>100</v>
      </c>
      <c r="G125" s="5" t="str" cm="1">
        <f t="array" ref="G125">IFERROR(INDEX('DT-GV'!$X$6:$X$213,MATCH(1,('DT-GV'!$H$6:$H$213=E125)*('DT-GV'!$R$6:$R$213&lt;&gt;0),0)),IFERROR(VLOOKUP(E125,'DT-GV'!$H$6:$X$213,17,0),""))</f>
        <v>LAKD</v>
      </c>
      <c r="H125" s="6" t="str">
        <f>VLOOKUP(E125,'Dự thu chiết khấu'!$L$3:$M$226,2,0)</f>
        <v>S11001</v>
      </c>
      <c r="I125">
        <v>1</v>
      </c>
      <c r="J125" s="11">
        <f>VLOOKUP(E125,'Dự thu chiết khấu'!$L$3:$P$226,5,0)</f>
        <v>749000000</v>
      </c>
      <c r="K125" s="12">
        <f t="shared" si="13"/>
        <v>44940000</v>
      </c>
      <c r="L125" s="12">
        <f t="shared" si="14"/>
        <v>0</v>
      </c>
      <c r="M125" s="13">
        <f>IFERROR(VLOOKUP(E125,'Dự thu chiết khấu'!$L$3:$R$226,7,0),0)</f>
        <v>0</v>
      </c>
      <c r="N125" s="14">
        <f>IFERROR(VLOOKUP(E125,'Dự thu chiết khấu'!$L$3:$S$226,8,0),0)</f>
        <v>0</v>
      </c>
      <c r="O125" s="11">
        <f>IF(IFERROR(VLOOKUP(E125,'Dự thu chiết khấu'!$L$3:$T$226,9,0),0)&gt;0,J125*$O$5,0)</f>
        <v>0</v>
      </c>
      <c r="P125" s="13">
        <f>IFERROR(VLOOKUP(E125,'Dự thu chiết khấu'!$L$3:$U$226,10,0),0)</f>
        <v>0</v>
      </c>
      <c r="Q125" s="12">
        <f>IFERROR(VLOOKUP(E125,'Dự thu chiết khấu'!$L$3:$V$226,11,0),0)</f>
        <v>0</v>
      </c>
      <c r="R125" s="12">
        <f>VLOOKUP($E125,'Dự thu chiết khấu'!$L$3:$W$226,12,0)</f>
        <v>0</v>
      </c>
      <c r="S125" s="12">
        <f t="shared" si="10"/>
        <v>640054545.45454538</v>
      </c>
      <c r="T125" s="11">
        <f t="shared" si="11"/>
        <v>0.45454537868499756</v>
      </c>
      <c r="U125" s="15">
        <f>SUMIFS('DT-GV'!$N$6:$N$213,'DT-GV'!$H$6:$H$213,E125,'DT-GV'!$R$6:$R$213,"&lt;&gt;0")</f>
        <v>640054545</v>
      </c>
      <c r="V125" s="48">
        <f>SUMIFS('DT-GV'!$N$6:$N$213,'DT-GV'!$H$6:$H$213,E125,'DT-GV'!$R$6:$R$213,0)</f>
        <v>0</v>
      </c>
      <c r="W125" s="15">
        <f>-SUMIFS('DT-GV'!$R$6:$R$213,'DT-GV'!$H$6:$H$213,E125)</f>
        <v>-653672727</v>
      </c>
      <c r="X125" s="11">
        <f>IFERROR(VLOOKUP($E125,'Dự thu chiết khấu'!$L$3:$AK$226,26,0)/1.1,0)</f>
        <v>39220363.636363633</v>
      </c>
      <c r="Y125" s="11">
        <f>IFERROR(VLOOKUP($E125,'Dự thu chiết khấu'!$L$3:$BE$226,46,0)/1.1,0)</f>
        <v>0</v>
      </c>
      <c r="Z125" s="11">
        <f>-SUMIF('Lương năng suất'!$R$4:$R$208,E125,'Lương năng suất'!$AQ$4:$AQ$208)</f>
        <v>-11400000</v>
      </c>
      <c r="AA125" s="213" t="str">
        <f>IFERROR(IF(ISNUMBER(SEARCH("TẶNG",VLOOKUP(E125,'Dự thu chiết khấu'!$L$3:$AV$226,37,0))),"TẶNG",""),"")</f>
        <v>TẶNG</v>
      </c>
      <c r="AB125" s="213" t="str">
        <f>IFERROR(IF(ISNUMBER(SEARCH("TẶNG",VLOOKUP(E125,'Dự thu chiết khấu'!$L$3:$AW$226,38,0))),"TẶNG",""),"")</f>
        <v/>
      </c>
      <c r="AC125" s="49">
        <f t="shared" si="12"/>
        <v>14202181.636363633</v>
      </c>
      <c r="AD125" s="11">
        <f>IFERROR(VLOOKUP(E125,'Dự thu chiết khấu'!$L$3:$AM$226,28,0),0)</f>
        <v>0</v>
      </c>
      <c r="AE125" s="11">
        <f>IFERROR(VLOOKUP(E125,'Dự thu chiết khấu'!$L$3:$AN$226,29,0),0)</f>
        <v>0</v>
      </c>
      <c r="AF125" s="11">
        <f>IFERROR(VLOOKUP(E125,'Dự thu chiết khấu'!$L$3:$AO$226,30,0),0)</f>
        <v>10000000</v>
      </c>
    </row>
    <row r="126" spans="1:32">
      <c r="A126">
        <v>120</v>
      </c>
      <c r="B126" t="str">
        <f>IFERROR(INDEX('Dự thu chiết khấu'!$E:$E,MATCH(E126,'Dự thu chiết khấu'!$L:$L,0)),"")</f>
        <v>TRẦN GIA HUY</v>
      </c>
      <c r="C126" s="51" t="str">
        <f>IFERROR(INDEX('Dự thu chiết khấu'!$F:$F,MATCH(E126,'Dự thu chiết khấu'!$L:$L,0)),"")</f>
        <v>VÕ HÙNG CƯỜNG</v>
      </c>
      <c r="D126" s="4" t="str">
        <f>IFERROR(INDEX('Dự thu chiết khấu'!$H:$H,MATCH(E126,'Dự thu chiết khấu'!$L:$L,0)),"")</f>
        <v>EC VAN</v>
      </c>
      <c r="E126" s="4" t="str">
        <f>'Dự thu chiết khấu'!L123</f>
        <v>RNXVGRPK1TT710874</v>
      </c>
      <c r="F126" s="5" t="s">
        <v>104</v>
      </c>
      <c r="G126" s="5" t="str" cm="1">
        <f t="array" ref="G126">IFERROR(INDEX('DT-GV'!$X$6:$X$213,MATCH(1,('DT-GV'!$H$6:$H$213=E126)*('DT-GV'!$R$6:$R$213&lt;&gt;0),0)),IFERROR(VLOOKUP(E126,'DT-GV'!$H$6:$X$213,17,0),""))</f>
        <v>SLKD</v>
      </c>
      <c r="H126" s="7" t="str">
        <f>VLOOKUP(E126,'Dự thu chiết khấu'!$L$3:$M$226,2,0)</f>
        <v>S11007</v>
      </c>
      <c r="I126">
        <v>1</v>
      </c>
      <c r="J126" s="11">
        <f>VLOOKUP(E126,'Dự thu chiết khấu'!$L$3:$P$226,5,0)</f>
        <v>305000000</v>
      </c>
      <c r="K126" s="12">
        <f t="shared" si="13"/>
        <v>0</v>
      </c>
      <c r="L126" s="12">
        <f t="shared" si="14"/>
        <v>0</v>
      </c>
      <c r="M126" s="13">
        <f>IFERROR(VLOOKUP(E126,'Dự thu chiết khấu'!$L$3:$R$226,7,0),0)</f>
        <v>7.0000000000000007E-2</v>
      </c>
      <c r="N126" s="14">
        <f>IFERROR(VLOOKUP(E126,'Dự thu chiết khấu'!$L$3:$S$226,8,0),0)</f>
        <v>0</v>
      </c>
      <c r="O126" s="11">
        <f>IF(IFERROR(VLOOKUP(E126,'Dự thu chiết khấu'!$L$3:$T$226,9,0),0)&gt;0,J126*$O$5,0)</f>
        <v>0</v>
      </c>
      <c r="P126" s="13">
        <f>IFERROR(VLOOKUP(E126,'Dự thu chiết khấu'!$L$3:$U$226,10,0),0)</f>
        <v>0</v>
      </c>
      <c r="Q126" s="12">
        <f>IFERROR(VLOOKUP(E126,'Dự thu chiết khấu'!$L$3:$V$226,11,0),0)</f>
        <v>0</v>
      </c>
      <c r="R126" s="12">
        <f>VLOOKUP($E126,'Dự thu chiết khấu'!$L$3:$W$226,12,0)</f>
        <v>0</v>
      </c>
      <c r="S126" s="12">
        <f t="shared" si="10"/>
        <v>277272727.27272725</v>
      </c>
      <c r="T126" s="11">
        <f t="shared" si="11"/>
        <v>0.27272725105285645</v>
      </c>
      <c r="U126" s="15">
        <f>SUMIFS('DT-GV'!$N$6:$N$213,'DT-GV'!$H$6:$H$213,E126,'DT-GV'!$R$6:$R$213,"&lt;&gt;0")</f>
        <v>277272727</v>
      </c>
      <c r="V126" s="48">
        <f>SUMIFS('DT-GV'!$N$6:$N$213,'DT-GV'!$H$6:$H$213,E126,'DT-GV'!$R$6:$R$213,0)</f>
        <v>0</v>
      </c>
      <c r="W126" s="15">
        <f>-SUMIFS('DT-GV'!$R$6:$R$213,'DT-GV'!$H$6:$H$213,E126)</f>
        <v>-266181818</v>
      </c>
      <c r="X126" s="11">
        <f>IFERROR(VLOOKUP($E126,'Dự thu chiết khấu'!$L$3:$AK$226,26,0)/1.1,0)</f>
        <v>0</v>
      </c>
      <c r="Y126" s="11">
        <f>IFERROR(VLOOKUP($E126,'Dự thu chiết khấu'!$L$3:$BE$226,46,0)/1.1,0)</f>
        <v>2772727.2727272725</v>
      </c>
      <c r="Z126" s="11">
        <f>-SUMIF('Lương năng suất'!$R$4:$R$208,E126,'Lương năng suất'!$AQ$4:$AQ$208)</f>
        <v>-4500000</v>
      </c>
      <c r="AA126" s="213" t="str">
        <f>IFERROR(IF(ISNUMBER(SEARCH("TẶNG",VLOOKUP(E126,'Dự thu chiết khấu'!$L$3:$AV$226,37,0))),"TẶNG",""),"")</f>
        <v/>
      </c>
      <c r="AB126" s="213" t="str">
        <f>IFERROR(IF(ISNUMBER(SEARCH("TẶNG",VLOOKUP(E126,'Dự thu chiết khấu'!$L$3:$AW$226,38,0))),"TẶNG",""),"")</f>
        <v/>
      </c>
      <c r="AC126" s="49">
        <f t="shared" si="12"/>
        <v>9363636.2727272734</v>
      </c>
      <c r="AD126" s="11">
        <f>IFERROR(VLOOKUP(E126,'Dự thu chiết khấu'!$L$3:$AM$226,28,0),0)</f>
        <v>0</v>
      </c>
      <c r="AE126" s="11">
        <f>IFERROR(VLOOKUP(E126,'Dự thu chiết khấu'!$L$3:$AN$226,29,0),0)</f>
        <v>0</v>
      </c>
      <c r="AF126" s="11">
        <f>IFERROR(VLOOKUP(E126,'Dự thu chiết khấu'!$L$3:$AO$226,30,0),0)</f>
        <v>0</v>
      </c>
    </row>
    <row r="127" spans="1:32">
      <c r="A127" s="11">
        <v>121</v>
      </c>
      <c r="B127" t="str">
        <f>IFERROR(INDEX('Dự thu chiết khấu'!$E:$E,MATCH(E127,'Dự thu chiết khấu'!$L:$L,0)),"")</f>
        <v>NGUYỄN VÂN THI</v>
      </c>
      <c r="C127" s="51" t="str">
        <f>IFERROR(INDEX('Dự thu chiết khấu'!$F:$F,MATCH(E127,'Dự thu chiết khấu'!$L:$L,0)),"")</f>
        <v>NGUYỄN TRUNG HIẾU</v>
      </c>
      <c r="D127" s="4" t="str">
        <f>IFERROR(INDEX('Dự thu chiết khấu'!$H:$H,MATCH(E127,'Dự thu chiết khấu'!$L:$L,0)),"")</f>
        <v>MPV 7</v>
      </c>
      <c r="E127" s="4" t="str">
        <f>'Dự thu chiết khấu'!L124</f>
        <v>RLLVFPTT8TH733007</v>
      </c>
      <c r="F127" s="5" t="s">
        <v>122</v>
      </c>
      <c r="G127" s="5" t="str" cm="1">
        <f t="array" ref="G127">IFERROR(INDEX('DT-GV'!$X$6:$X$213,MATCH(1,('DT-GV'!$H$6:$H$213=E127)*('DT-GV'!$R$6:$R$213&lt;&gt;0),0)),IFERROR(VLOOKUP(E127,'DT-GV'!$H$6:$X$213,17,0),""))</f>
        <v>QTKD</v>
      </c>
      <c r="H127" s="6" t="str">
        <f>VLOOKUP(E127,'Dự thu chiết khấu'!$L$3:$M$226,2,0)</f>
        <v>S11007</v>
      </c>
      <c r="I127">
        <v>1</v>
      </c>
      <c r="J127" s="11">
        <f>VLOOKUP(E127,'Dự thu chiết khấu'!$L$3:$P$226,5,0)</f>
        <v>819000000</v>
      </c>
      <c r="K127" s="12">
        <f t="shared" si="13"/>
        <v>49140000</v>
      </c>
      <c r="L127" s="12">
        <f t="shared" si="14"/>
        <v>0</v>
      </c>
      <c r="M127" s="13">
        <f>IFERROR(VLOOKUP(E127,'Dự thu chiết khấu'!$L$3:$R$226,7,0),0)</f>
        <v>0</v>
      </c>
      <c r="N127" s="14">
        <f>IFERROR(VLOOKUP(E127,'Dự thu chiết khấu'!$L$3:$S$226,8,0),0)</f>
        <v>0</v>
      </c>
      <c r="O127" s="11">
        <f>IF(IFERROR(VLOOKUP(E127,'Dự thu chiết khấu'!$L$3:$T$226,9,0),0)&gt;0,J127*$O$5,0)</f>
        <v>24570000</v>
      </c>
      <c r="P127" s="13">
        <f>IFERROR(VLOOKUP(E127,'Dự thu chiết khấu'!$L$3:$U$226,10,0),0)</f>
        <v>0</v>
      </c>
      <c r="Q127" s="12">
        <f>IFERROR(VLOOKUP(E127,'Dự thu chiết khấu'!$L$3:$V$226,11,0),0)</f>
        <v>0</v>
      </c>
      <c r="R127" s="12">
        <f>VLOOKUP($E127,'Dự thu chiết khấu'!$L$3:$W$226,12,0)</f>
        <v>15000000</v>
      </c>
      <c r="S127" s="12">
        <f t="shared" si="10"/>
        <v>663900000</v>
      </c>
      <c r="T127" s="11">
        <f t="shared" si="11"/>
        <v>0</v>
      </c>
      <c r="U127" s="15">
        <f>SUMIFS('DT-GV'!$N$6:$N$213,'DT-GV'!$H$6:$H$213,E127,'DT-GV'!$R$6:$R$213,"&lt;&gt;0")</f>
        <v>663900000</v>
      </c>
      <c r="V127" s="48">
        <f>SUMIFS('DT-GV'!$N$6:$N$213,'DT-GV'!$H$6:$H$213,E127,'DT-GV'!$R$6:$R$213,0)</f>
        <v>0</v>
      </c>
      <c r="W127" s="15">
        <f>-SUMIFS('DT-GV'!$R$6:$R$213,'DT-GV'!$H$6:$H$213,E127)</f>
        <v>-684218181</v>
      </c>
      <c r="X127" s="11">
        <f>IFERROR(VLOOKUP($E127,'Dự thu chiết khấu'!$L$3:$AK$226,26,0)/1.1,0)</f>
        <v>33783272.727272727</v>
      </c>
      <c r="Y127" s="11">
        <f>IFERROR(VLOOKUP($E127,'Dự thu chiết khấu'!$L$3:$BE$226,46,0)/1.1,0)</f>
        <v>6775363.6363636358</v>
      </c>
      <c r="Z127" s="11">
        <f>-SUMIF('Lương năng suất'!$R$4:$R$208,E127,'Lương năng suất'!$AQ$4:$AQ$208)</f>
        <v>-3000000</v>
      </c>
      <c r="AA127" s="213" t="str">
        <f>IFERROR(IF(ISNUMBER(SEARCH("TẶNG",VLOOKUP(E127,'Dự thu chiết khấu'!$L$3:$AV$226,37,0))),"TẶNG",""),"")</f>
        <v/>
      </c>
      <c r="AB127" s="213" t="str">
        <f>IFERROR(IF(ISNUMBER(SEARCH("TẶNG",VLOOKUP(E127,'Dự thu chiết khấu'!$L$3:$AW$226,38,0))),"TẶNG",""),"")</f>
        <v/>
      </c>
      <c r="AC127" s="49">
        <f t="shared" si="12"/>
        <v>17240455.363636363</v>
      </c>
      <c r="AD127" s="11">
        <f>IFERROR(VLOOKUP(E127,'Dự thu chiết khấu'!$L$3:$AM$226,28,0),0)</f>
        <v>0</v>
      </c>
      <c r="AE127" s="11">
        <f>IFERROR(VLOOKUP(E127,'Dự thu chiết khấu'!$L$3:$AN$226,29,0),0)</f>
        <v>0</v>
      </c>
      <c r="AF127" s="11">
        <f>IFERROR(VLOOKUP(E127,'Dự thu chiết khấu'!$L$3:$AO$226,30,0),0)</f>
        <v>0</v>
      </c>
    </row>
    <row r="128" spans="1:32">
      <c r="A128">
        <v>122</v>
      </c>
      <c r="B128" t="str">
        <f>IFERROR(INDEX('Dự thu chiết khấu'!$E:$E,MATCH(E128,'Dự thu chiết khấu'!$L:$L,0)),"")</f>
        <v>PHÙNG BÁ AN</v>
      </c>
      <c r="C128" s="51" t="str">
        <f>IFERROR(INDEX('Dự thu chiết khấu'!$F:$F,MATCH(E128,'Dự thu chiết khấu'!$L:$L,0)),"")</f>
        <v>NGUYỄN VĂN HỢP</v>
      </c>
      <c r="D128" s="4" t="str">
        <f>IFERROR(INDEX('Dự thu chiết khấu'!$H:$H,MATCH(E128,'Dự thu chiết khấu'!$L:$L,0)),"")</f>
        <v>VF 3</v>
      </c>
      <c r="E128" s="4" t="str">
        <f>'Dự thu chiết khấu'!L125</f>
        <v>RLNVBL9K2ST717441</v>
      </c>
      <c r="F128" s="5" t="s">
        <v>122</v>
      </c>
      <c r="G128" s="5" t="str" cm="1">
        <f t="array" ref="G128">IFERROR(INDEX('DT-GV'!$X$6:$X$213,MATCH(1,('DT-GV'!$H$6:$H$213=E128)*('DT-GV'!$R$6:$R$213&lt;&gt;0),0)),IFERROR(VLOOKUP(E128,'DT-GV'!$H$6:$X$213,17,0),""))</f>
        <v>QTKD</v>
      </c>
      <c r="H128" s="9" t="str">
        <f>VLOOKUP(E128,'Dự thu chiết khấu'!$L$3:$M$226,2,0)</f>
        <v>S11007</v>
      </c>
      <c r="I128">
        <v>1</v>
      </c>
      <c r="J128" s="11">
        <f>VLOOKUP(E128,'Dự thu chiết khấu'!$L$3:$P$226,5,0)</f>
        <v>310000000</v>
      </c>
      <c r="K128" s="12">
        <f t="shared" si="13"/>
        <v>18600000</v>
      </c>
      <c r="L128" s="12">
        <f t="shared" si="14"/>
        <v>0</v>
      </c>
      <c r="M128" s="13">
        <f>IFERROR(VLOOKUP(E128,'Dự thu chiết khấu'!$L$3:$R$226,7,0),0)</f>
        <v>0</v>
      </c>
      <c r="N128" s="14">
        <f>IFERROR(VLOOKUP(E128,'Dự thu chiết khấu'!$L$3:$S$226,8,0),0)</f>
        <v>0</v>
      </c>
      <c r="O128" s="11">
        <f>IF(IFERROR(VLOOKUP(E128,'Dự thu chiết khấu'!$L$3:$T$226,9,0),0)&gt;0,J128*$O$5,0)</f>
        <v>0</v>
      </c>
      <c r="P128" s="13">
        <f>IFERROR(VLOOKUP(E128,'Dự thu chiết khấu'!$L$3:$U$226,10,0),0)</f>
        <v>0</v>
      </c>
      <c r="Q128" s="12">
        <f>IFERROR(VLOOKUP(E128,'Dự thu chiết khấu'!$L$3:$V$226,11,0),0)</f>
        <v>18000000</v>
      </c>
      <c r="R128" s="12">
        <f>VLOOKUP($E128,'Dự thu chiết khấu'!$L$3:$W$226,12,0)</f>
        <v>5520000</v>
      </c>
      <c r="S128" s="12">
        <f t="shared" si="10"/>
        <v>243527272.72727272</v>
      </c>
      <c r="T128" s="11">
        <f t="shared" si="11"/>
        <v>-0.27272728085517883</v>
      </c>
      <c r="U128" s="15">
        <f>SUMIFS('DT-GV'!$N$6:$N$213,'DT-GV'!$H$6:$H$213,E128,'DT-GV'!$R$6:$R$213,"&lt;&gt;0")</f>
        <v>243527273</v>
      </c>
      <c r="V128" s="48">
        <f>SUMIFS('DT-GV'!$N$6:$N$213,'DT-GV'!$H$6:$H$213,E128,'DT-GV'!$R$6:$R$213,0)</f>
        <v>0</v>
      </c>
      <c r="W128" s="15">
        <f>-SUMIFS('DT-GV'!$R$6:$R$213,'DT-GV'!$H$6:$H$213,E128)</f>
        <v>-270545455</v>
      </c>
      <c r="X128" s="11">
        <f>IFERROR(VLOOKUP($E128,'Dự thu chiết khấu'!$L$3:$AK$226,26,0)/1.1,0)</f>
        <v>31941818.18181818</v>
      </c>
      <c r="Y128" s="11">
        <f>IFERROR(VLOOKUP($E128,'Dự thu chiết khấu'!$L$3:$BE$226,46,0)/1.1,0)</f>
        <v>2485454.5454545454</v>
      </c>
      <c r="Z128" s="11">
        <f>-SUMIF('Lương năng suất'!$R$4:$R$208,E128,'Lương năng suất'!$AQ$4:$AQ$208)</f>
        <v>-1984000</v>
      </c>
      <c r="AA128" s="213" t="str">
        <f>IFERROR(IF(ISNUMBER(SEARCH("TẶNG",VLOOKUP(E128,'Dự thu chiết khấu'!$L$3:$AV$226,37,0))),"TẶNG",""),"")</f>
        <v/>
      </c>
      <c r="AB128" s="213" t="str">
        <f>IFERROR(IF(ISNUMBER(SEARCH("TẶNG",VLOOKUP(E128,'Dự thu chiết khấu'!$L$3:$AW$226,38,0))),"TẶNG",""),"")</f>
        <v/>
      </c>
      <c r="AC128" s="49">
        <f t="shared" si="12"/>
        <v>5425090.7272727247</v>
      </c>
      <c r="AD128" s="11">
        <f>IFERROR(VLOOKUP(E128,'Dự thu chiết khấu'!$L$3:$AM$226,28,0),0)</f>
        <v>0</v>
      </c>
      <c r="AE128" s="11">
        <f>IFERROR(VLOOKUP(E128,'Dự thu chiết khấu'!$L$3:$AN$226,29,0),0)</f>
        <v>0</v>
      </c>
      <c r="AF128" s="11">
        <f>IFERROR(VLOOKUP(E128,'Dự thu chiết khấu'!$L$3:$AO$226,30,0),0)</f>
        <v>0</v>
      </c>
    </row>
    <row r="129" spans="1:32">
      <c r="A129" s="11">
        <v>123</v>
      </c>
      <c r="B129" t="str">
        <f>IFERROR(INDEX('Dự thu chiết khấu'!$E:$E,MATCH(E129,'Dự thu chiết khấu'!$L:$L,0)),"")</f>
        <v>NGUYỄN VÂN THI</v>
      </c>
      <c r="C129" s="51" t="str">
        <f>IFERROR(INDEX('Dự thu chiết khấu'!$F:$F,MATCH(E129,'Dự thu chiết khấu'!$L:$L,0)),"")</f>
        <v>LÊ THỊ TẤN</v>
      </c>
      <c r="D129" s="4" t="str">
        <f>IFERROR(INDEX('Dự thu chiết khấu'!$H:$H,MATCH(E129,'Dự thu chiết khấu'!$L:$L,0)),"")</f>
        <v>VF 3</v>
      </c>
      <c r="E129" s="4" t="str">
        <f>'Dự thu chiết khấu'!L126</f>
        <v>RLNVBL9K0TT701918</v>
      </c>
      <c r="F129" s="5" t="s">
        <v>122</v>
      </c>
      <c r="G129" s="5" t="str" cm="1">
        <f t="array" ref="G129">IFERROR(INDEX('DT-GV'!$X$6:$X$213,MATCH(1,('DT-GV'!$H$6:$H$213=E129)*('DT-GV'!$R$6:$R$213&lt;&gt;0),0)),IFERROR(VLOOKUP(E129,'DT-GV'!$H$6:$X$213,17,0),""))</f>
        <v>QTKD</v>
      </c>
      <c r="H129" s="8" t="str">
        <f>VLOOKUP(E129,'Dự thu chiết khấu'!$L$3:$M$226,2,0)</f>
        <v>S11001</v>
      </c>
      <c r="I129">
        <v>1</v>
      </c>
      <c r="J129" s="11">
        <f>VLOOKUP(E129,'Dự thu chiết khấu'!$L$3:$P$226,5,0)</f>
        <v>310000000</v>
      </c>
      <c r="K129" s="12">
        <f t="shared" si="13"/>
        <v>18600000</v>
      </c>
      <c r="L129" s="12">
        <f t="shared" si="14"/>
        <v>0</v>
      </c>
      <c r="M129" s="13">
        <f>IFERROR(VLOOKUP(E129,'Dự thu chiết khấu'!$L$3:$R$226,7,0),0)</f>
        <v>0</v>
      </c>
      <c r="N129" s="14">
        <f>IFERROR(VLOOKUP(E129,'Dự thu chiết khấu'!$L$3:$S$226,8,0),0)</f>
        <v>0</v>
      </c>
      <c r="O129" s="11">
        <f>IF(IFERROR(VLOOKUP(E129,'Dự thu chiết khấu'!$L$3:$T$226,9,0),0)&gt;0,J129*$O$5,0)</f>
        <v>0</v>
      </c>
      <c r="P129" s="13">
        <f>IFERROR(VLOOKUP(E129,'Dự thu chiết khấu'!$L$3:$U$226,10,0),0)</f>
        <v>0.05</v>
      </c>
      <c r="Q129" s="12">
        <f>IFERROR(VLOOKUP(E129,'Dự thu chiết khấu'!$L$3:$V$226,11,0),0)</f>
        <v>0</v>
      </c>
      <c r="R129" s="12">
        <f>VLOOKUP($E129,'Dự thu chiết khấu'!$L$3:$W$226,12,0)</f>
        <v>0</v>
      </c>
      <c r="S129" s="12">
        <f t="shared" si="10"/>
        <v>250818181.81818181</v>
      </c>
      <c r="T129" s="11">
        <f t="shared" si="11"/>
        <v>-0.18181818723678589</v>
      </c>
      <c r="U129" s="15">
        <f>SUMIFS('DT-GV'!$N$6:$N$213,'DT-GV'!$H$6:$H$213,E129,'DT-GV'!$R$6:$R$213,"&lt;&gt;0")</f>
        <v>250818182</v>
      </c>
      <c r="V129" s="48">
        <f>SUMIFS('DT-GV'!$N$6:$N$213,'DT-GV'!$H$6:$H$213,E129,'DT-GV'!$R$6:$R$213,0)</f>
        <v>0</v>
      </c>
      <c r="W129" s="15">
        <f>-SUMIFS('DT-GV'!$R$6:$R$213,'DT-GV'!$H$6:$H$213,E129)</f>
        <v>-270545455</v>
      </c>
      <c r="X129" s="11">
        <f>IFERROR(VLOOKUP($E129,'Dự thu chiết khấu'!$L$3:$AK$226,26,0)/1.1,0)</f>
        <v>22714545.454545453</v>
      </c>
      <c r="Y129" s="11">
        <f>IFERROR(VLOOKUP($E129,'Dự thu chiết khấu'!$L$3:$BE$226,46,0)/1.1,0)</f>
        <v>0</v>
      </c>
      <c r="Z129" s="11">
        <f>-SUMIF('Lương năng suất'!$R$4:$R$208,E129,'Lương năng suất'!$AQ$4:$AQ$208)</f>
        <v>-3200000</v>
      </c>
      <c r="AA129" s="213" t="str">
        <f>IFERROR(IF(ISNUMBER(SEARCH("TẶNG",VLOOKUP(E129,'Dự thu chiết khấu'!$L$3:$AV$226,37,0))),"TẶNG",""),"")</f>
        <v/>
      </c>
      <c r="AB129" s="213" t="str">
        <f>IFERROR(IF(ISNUMBER(SEARCH("TẶNG",VLOOKUP(E129,'Dự thu chiết khấu'!$L$3:$AW$226,38,0))),"TẶNG",""),"")</f>
        <v/>
      </c>
      <c r="AC129" s="49">
        <f t="shared" si="12"/>
        <v>-212727.54545454681</v>
      </c>
      <c r="AD129" s="11">
        <f>IFERROR(VLOOKUP(E129,'Dự thu chiết khấu'!$L$3:$AM$226,28,0),0)</f>
        <v>0</v>
      </c>
      <c r="AE129" s="11">
        <f>IFERROR(VLOOKUP(E129,'Dự thu chiết khấu'!$L$3:$AN$226,29,0),0)</f>
        <v>0</v>
      </c>
      <c r="AF129" s="11">
        <f>IFERROR(VLOOKUP(E129,'Dự thu chiết khấu'!$L$3:$AO$226,30,0),0)</f>
        <v>0</v>
      </c>
    </row>
    <row r="130" spans="1:32">
      <c r="A130">
        <v>124</v>
      </c>
      <c r="B130" t="str">
        <f>IFERROR(INDEX('Dự thu chiết khấu'!$E:$E,MATCH(E130,'Dự thu chiết khấu'!$L:$L,0)),"")</f>
        <v>NGUYÊN ANH KHOA</v>
      </c>
      <c r="C130" s="51" t="str">
        <f>IFERROR(INDEX('Dự thu chiết khấu'!$F:$F,MATCH(E130,'Dự thu chiết khấu'!$L:$L,0)),"")</f>
        <v>NGUYỄN VĂN CHIẾN</v>
      </c>
      <c r="D130" s="4" t="str">
        <f>IFERROR(INDEX('Dự thu chiết khấu'!$H:$H,MATCH(E130,'Dự thu chiết khấu'!$L:$L,0)),"")</f>
        <v>VF 5</v>
      </c>
      <c r="E130" s="4" t="str">
        <f>'Dự thu chiết khấu'!L127</f>
        <v>RLNV5JSE6TH710660</v>
      </c>
      <c r="F130" s="5" t="s">
        <v>122</v>
      </c>
      <c r="G130" s="5" t="str" cm="1">
        <f t="array" ref="G130">IFERROR(INDEX('DT-GV'!$X$6:$X$213,MATCH(1,('DT-GV'!$H$6:$H$213=E130)*('DT-GV'!$R$6:$R$213&lt;&gt;0),0)),IFERROR(VLOOKUP(E130,'DT-GV'!$H$6:$X$213,17,0),""))</f>
        <v>QTKD</v>
      </c>
      <c r="H130" s="8" t="str">
        <f>VLOOKUP(E130,'Dự thu chiết khấu'!$L$3:$M$226,2,0)</f>
        <v>S11007</v>
      </c>
      <c r="I130">
        <v>1</v>
      </c>
      <c r="J130" s="11">
        <f>VLOOKUP(E130,'Dự thu chiết khấu'!$L$3:$P$226,5,0)</f>
        <v>537000000</v>
      </c>
      <c r="K130" s="12">
        <f t="shared" si="13"/>
        <v>32220000</v>
      </c>
      <c r="L130" s="12">
        <f t="shared" si="14"/>
        <v>0</v>
      </c>
      <c r="M130" s="13">
        <f>IFERROR(VLOOKUP(E130,'Dự thu chiết khấu'!$L$3:$R$226,7,0),0)</f>
        <v>0</v>
      </c>
      <c r="N130" s="14">
        <f>IFERROR(VLOOKUP(E130,'Dự thu chiết khấu'!$L$3:$S$226,8,0),0)</f>
        <v>0</v>
      </c>
      <c r="O130" s="11">
        <f>IF(IFERROR(VLOOKUP(E130,'Dự thu chiết khấu'!$L$3:$T$226,9,0),0)&gt;0,J130*$O$5,0)</f>
        <v>16110000</v>
      </c>
      <c r="P130" s="13">
        <f>IFERROR(VLOOKUP(E130,'Dự thu chiết khấu'!$L$3:$U$226,10,0),0)</f>
        <v>0</v>
      </c>
      <c r="Q130" s="12">
        <f>IFERROR(VLOOKUP(E130,'Dự thu chiết khấu'!$L$3:$V$226,11,0),0)</f>
        <v>0</v>
      </c>
      <c r="R130" s="12">
        <f>VLOOKUP($E130,'Dự thu chiết khấu'!$L$3:$W$226,12,0)</f>
        <v>10000000</v>
      </c>
      <c r="S130" s="12">
        <f t="shared" si="10"/>
        <v>435154545.45454544</v>
      </c>
      <c r="T130" s="11">
        <f t="shared" si="11"/>
        <v>0.45454543828964233</v>
      </c>
      <c r="U130" s="15">
        <f>SUMIFS('DT-GV'!$N$6:$N$213,'DT-GV'!$H$6:$H$213,E130,'DT-GV'!$R$6:$R$213,"&lt;&gt;0")</f>
        <v>435154545</v>
      </c>
      <c r="V130" s="48">
        <f>SUMIFS('DT-GV'!$N$6:$N$213,'DT-GV'!$H$6:$H$213,E130,'DT-GV'!$R$6:$R$213,0)</f>
        <v>0</v>
      </c>
      <c r="W130" s="15">
        <f>-SUMIFS('DT-GV'!$R$6:$R$213,'DT-GV'!$H$6:$H$213,E130)</f>
        <v>-468654545</v>
      </c>
      <c r="X130" s="11">
        <f>IFERROR(VLOOKUP($E130,'Dự thu chiết khấu'!$L$3:$AK$226,26,0)/1.1,0)</f>
        <v>42178909.090909086</v>
      </c>
      <c r="Y130" s="11">
        <f>IFERROR(VLOOKUP($E130,'Dự thu chiết khấu'!$L$3:$BE$226,46,0)/1.1,0)</f>
        <v>4442454.5454545449</v>
      </c>
      <c r="Z130" s="11">
        <f>-SUMIF('Lương năng suất'!$R$4:$R$208,E130,'Lương năng suất'!$AQ$4:$AQ$208)</f>
        <v>-3600000</v>
      </c>
      <c r="AA130" s="213" t="str">
        <f>IFERROR(IF(ISNUMBER(SEARCH("TẶNG",VLOOKUP(E130,'Dự thu chiết khấu'!$L$3:$AV$226,37,0))),"TẶNG",""),"")</f>
        <v/>
      </c>
      <c r="AB130" s="213" t="str">
        <f>IFERROR(IF(ISNUMBER(SEARCH("TẶNG",VLOOKUP(E130,'Dự thu chiết khấu'!$L$3:$AW$226,38,0))),"TẶNG",""),"")</f>
        <v/>
      </c>
      <c r="AC130" s="49">
        <f t="shared" si="12"/>
        <v>9521363.6363636311</v>
      </c>
      <c r="AD130" s="11">
        <f>IFERROR(VLOOKUP(E130,'Dự thu chiết khấu'!$L$3:$AM$226,28,0),0)</f>
        <v>0</v>
      </c>
      <c r="AE130" s="11">
        <f>IFERROR(VLOOKUP(E130,'Dự thu chiết khấu'!$L$3:$AN$226,29,0),0)</f>
        <v>0</v>
      </c>
      <c r="AF130" s="11">
        <f>IFERROR(VLOOKUP(E130,'Dự thu chiết khấu'!$L$3:$AO$226,30,0),0)</f>
        <v>0</v>
      </c>
    </row>
    <row r="131" spans="1:32">
      <c r="A131" s="11">
        <v>125</v>
      </c>
      <c r="B131" t="str">
        <f>IFERROR(INDEX('Dự thu chiết khấu'!$E:$E,MATCH(E131,'Dự thu chiết khấu'!$L:$L,0)),"")</f>
        <v>NGUYỄN HỮU ĐỨC</v>
      </c>
      <c r="C131" s="51" t="str">
        <f>IFERROR(INDEX('Dự thu chiết khấu'!$F:$F,MATCH(E131,'Dự thu chiết khấu'!$L:$L,0)),"")</f>
        <v>NGUYỄN QUỐC VIỆT</v>
      </c>
      <c r="D131" s="4" t="str">
        <f>IFERROR(INDEX('Dự thu chiết khấu'!$H:$H,MATCH(E131,'Dự thu chiết khấu'!$L:$L,0)),"")</f>
        <v>MPV 7</v>
      </c>
      <c r="E131" s="4" t="str">
        <f>'Dự thu chiết khấu'!L128</f>
        <v>RLLVFPTT0TH718307</v>
      </c>
      <c r="F131" s="5" t="s">
        <v>122</v>
      </c>
      <c r="G131" s="5" t="str" cm="1">
        <f t="array" ref="G131">IFERROR(INDEX('DT-GV'!$X$6:$X$213,MATCH(1,('DT-GV'!$H$6:$H$213=E131)*('DT-GV'!$R$6:$R$213&lt;&gt;0),0)),IFERROR(VLOOKUP(E131,'DT-GV'!$H$6:$X$213,17,0),""))</f>
        <v>QTKD</v>
      </c>
      <c r="H131" s="8" t="str">
        <f>VLOOKUP(E131,'Dự thu chiết khấu'!$L$3:$M$226,2,0)</f>
        <v>S11007</v>
      </c>
      <c r="I131">
        <v>1</v>
      </c>
      <c r="J131" s="11">
        <f>VLOOKUP(E131,'Dự thu chiết khấu'!$L$3:$P$226,5,0)</f>
        <v>819000000</v>
      </c>
      <c r="K131" s="12">
        <f t="shared" si="13"/>
        <v>49140000</v>
      </c>
      <c r="L131" s="12">
        <f t="shared" si="14"/>
        <v>0</v>
      </c>
      <c r="M131" s="13">
        <f>IFERROR(VLOOKUP(E131,'Dự thu chiết khấu'!$L$3:$R$226,7,0),0)</f>
        <v>0</v>
      </c>
      <c r="N131" s="14">
        <f>IFERROR(VLOOKUP(E131,'Dự thu chiết khấu'!$L$3:$S$226,8,0),0)</f>
        <v>0</v>
      </c>
      <c r="O131" s="11">
        <f>IF(IFERROR(VLOOKUP(E131,'Dự thu chiết khấu'!$L$3:$T$226,9,0),0)&gt;0,J131*$O$5,0)</f>
        <v>0</v>
      </c>
      <c r="P131" s="13">
        <f>IFERROR(VLOOKUP(E131,'Dự thu chiết khấu'!$L$3:$U$226,10,0),0)</f>
        <v>0</v>
      </c>
      <c r="Q131" s="12">
        <f>IFERROR(VLOOKUP(E131,'Dự thu chiết khấu'!$L$3:$V$226,11,0),0)</f>
        <v>0</v>
      </c>
      <c r="R131" s="12">
        <f>VLOOKUP($E131,'Dự thu chiết khấu'!$L$3:$W$226,12,0)</f>
        <v>12000000</v>
      </c>
      <c r="S131" s="12">
        <f t="shared" si="10"/>
        <v>688963636.36363626</v>
      </c>
      <c r="T131" s="11">
        <f t="shared" si="11"/>
        <v>0.36363625526428223</v>
      </c>
      <c r="U131" s="15">
        <f>SUMIFS('DT-GV'!$N$6:$N$213,'DT-GV'!$H$6:$H$213,E131,'DT-GV'!$R$6:$R$213,"&lt;&gt;0")</f>
        <v>688963636</v>
      </c>
      <c r="V131" s="48">
        <f>SUMIFS('DT-GV'!$N$6:$N$213,'DT-GV'!$H$6:$H$213,E131,'DT-GV'!$R$6:$R$213,0)</f>
        <v>0</v>
      </c>
      <c r="W131" s="15">
        <f>-SUMIFS('DT-GV'!$R$6:$R$213,'DT-GV'!$H$6:$H$213,E131)</f>
        <v>-714763636</v>
      </c>
      <c r="X131" s="11">
        <f>IFERROR(VLOOKUP($E131,'Dự thu chiết khấu'!$L$3:$AK$226,26,0)/1.1,0)</f>
        <v>42885818.18181818</v>
      </c>
      <c r="Y131" s="11">
        <f>IFERROR(VLOOKUP($E131,'Dự thu chiết khấu'!$L$3:$BE$226,46,0)/1.1,0)</f>
        <v>6998727.2727272725</v>
      </c>
      <c r="Z131" s="11">
        <f>-SUMIF('Lương năng suất'!$R$4:$R$208,E131,'Lương năng suất'!$AQ$4:$AQ$208)</f>
        <v>-6400000</v>
      </c>
      <c r="AA131" s="213" t="str">
        <f>IFERROR(IF(ISNUMBER(SEARCH("TẶNG",VLOOKUP(E131,'Dự thu chiết khấu'!$L$3:$AV$226,37,0))),"TẶNG",""),"")</f>
        <v/>
      </c>
      <c r="AB131" s="213" t="str">
        <f>IFERROR(IF(ISNUMBER(SEARCH("TẶNG",VLOOKUP(E131,'Dự thu chiết khấu'!$L$3:$AW$226,38,0))),"TẶNG",""),"")</f>
        <v/>
      </c>
      <c r="AC131" s="49">
        <f t="shared" si="12"/>
        <v>17684545.454545453</v>
      </c>
      <c r="AD131" s="11">
        <f>IFERROR(VLOOKUP(E131,'Dự thu chiết khấu'!$L$3:$AM$226,28,0),0)</f>
        <v>0</v>
      </c>
      <c r="AE131" s="11">
        <f>IFERROR(VLOOKUP(E131,'Dự thu chiết khấu'!$L$3:$AN$226,29,0),0)</f>
        <v>15000000</v>
      </c>
      <c r="AF131" s="11">
        <f>IFERROR(VLOOKUP(E131,'Dự thu chiết khấu'!$L$3:$AO$226,30,0),0)</f>
        <v>0</v>
      </c>
    </row>
    <row r="132" spans="1:32">
      <c r="A132">
        <v>126</v>
      </c>
      <c r="B132" t="str">
        <f>IFERROR(INDEX('Dự thu chiết khấu'!$E:$E,MATCH(E132,'Dự thu chiết khấu'!$L:$L,0)),"")</f>
        <v>TRIỆU NGUYỄN TÚ HÀO</v>
      </c>
      <c r="C132" s="51" t="str">
        <f>IFERROR(INDEX('Dự thu chiết khấu'!$F:$F,MATCH(E132,'Dự thu chiết khấu'!$L:$L,0)),"")</f>
        <v>TRẦN MỸ QUYÊN</v>
      </c>
      <c r="D132" s="4" t="str">
        <f>IFERROR(INDEX('Dự thu chiết khấu'!$H:$H,MATCH(E132,'Dự thu chiết khấu'!$L:$L,0)),"")</f>
        <v>VF 3</v>
      </c>
      <c r="E132" s="4" t="str">
        <f>'Dự thu chiết khấu'!L129</f>
        <v>RLNVBL9K8TT715534</v>
      </c>
      <c r="F132" s="5" t="s">
        <v>122</v>
      </c>
      <c r="G132" s="5" t="str" cm="1">
        <f t="array" ref="G132">IFERROR(INDEX('DT-GV'!$X$6:$X$213,MATCH(1,('DT-GV'!$H$6:$H$213=E132)*('DT-GV'!$R$6:$R$213&lt;&gt;0),0)),IFERROR(VLOOKUP(E132,'DT-GV'!$H$6:$X$213,17,0),""))</f>
        <v>QTKD</v>
      </c>
      <c r="H132" s="9" t="str">
        <f>VLOOKUP(E132,'Dự thu chiết khấu'!$L$3:$M$226,2,0)</f>
        <v>S11007</v>
      </c>
      <c r="I132">
        <v>1</v>
      </c>
      <c r="J132" s="11">
        <f>VLOOKUP(E132,'Dự thu chiết khấu'!$L$3:$P$226,5,0)</f>
        <v>302000000</v>
      </c>
      <c r="K132" s="12">
        <f t="shared" si="13"/>
        <v>18120000</v>
      </c>
      <c r="L132" s="12">
        <f t="shared" si="14"/>
        <v>0</v>
      </c>
      <c r="M132" s="13">
        <f>IFERROR(VLOOKUP(E132,'Dự thu chiết khấu'!$L$3:$R$226,7,0),0)</f>
        <v>0</v>
      </c>
      <c r="N132" s="14">
        <f>IFERROR(VLOOKUP(E132,'Dự thu chiết khấu'!$L$3:$S$226,8,0),0)</f>
        <v>0</v>
      </c>
      <c r="O132" s="11">
        <f>IF(IFERROR(VLOOKUP(E132,'Dự thu chiết khấu'!$L$3:$T$226,9,0),0)&gt;0,J132*$O$5,0)</f>
        <v>0</v>
      </c>
      <c r="P132" s="13">
        <f>IFERROR(VLOOKUP(E132,'Dự thu chiết khấu'!$L$3:$U$226,10,0),0)</f>
        <v>0</v>
      </c>
      <c r="Q132" s="12">
        <f>IFERROR(VLOOKUP(E132,'Dự thu chiết khấu'!$L$3:$V$226,11,0),0)</f>
        <v>0</v>
      </c>
      <c r="R132" s="12">
        <f>VLOOKUP($E132,'Dự thu chiết khấu'!$L$3:$W$226,12,0)</f>
        <v>6000000</v>
      </c>
      <c r="S132" s="12">
        <f t="shared" si="10"/>
        <v>252618181.81818178</v>
      </c>
      <c r="T132" s="11">
        <f t="shared" si="11"/>
        <v>-0.18181821703910828</v>
      </c>
      <c r="U132" s="15">
        <f>SUMIFS('DT-GV'!$N$6:$N$213,'DT-GV'!$H$6:$H$213,E132,'DT-GV'!$R$6:$R$213,"&lt;&gt;0")</f>
        <v>252618182</v>
      </c>
      <c r="V132" s="48">
        <f>SUMIFS('DT-GV'!$N$6:$N$213,'DT-GV'!$H$6:$H$213,E132,'DT-GV'!$R$6:$R$213,0)</f>
        <v>0</v>
      </c>
      <c r="W132" s="15">
        <f>-SUMIFS('DT-GV'!$R$6:$R$213,'DT-GV'!$H$6:$H$213,E132)</f>
        <v>-263563636</v>
      </c>
      <c r="X132" s="11">
        <f>IFERROR(VLOOKUP($E132,'Dự thu chiết khấu'!$L$3:$AK$226,26,0)/1.1,0)</f>
        <v>15813818.18181818</v>
      </c>
      <c r="Y132" s="11">
        <f>IFERROR(VLOOKUP($E132,'Dự thu chiết khấu'!$L$3:$BE$226,46,0)/1.1,0)</f>
        <v>2580727.2727272725</v>
      </c>
      <c r="Z132" s="11">
        <f>-SUMIF('Lương năng suất'!$R$4:$R$208,E132,'Lương năng suất'!$AQ$4:$AQ$208)</f>
        <v>-1600000</v>
      </c>
      <c r="AA132" s="213" t="str">
        <f>IFERROR(IF(ISNUMBER(SEARCH("TẶNG",VLOOKUP(E132,'Dự thu chiết khấu'!$L$3:$AV$226,37,0))),"TẶNG",""),"")</f>
        <v/>
      </c>
      <c r="AB132" s="213" t="str">
        <f>IFERROR(IF(ISNUMBER(SEARCH("TẶNG",VLOOKUP(E132,'Dự thu chiết khấu'!$L$3:$AW$226,38,0))),"TẶNG",""),"")</f>
        <v/>
      </c>
      <c r="AC132" s="49">
        <f t="shared" si="12"/>
        <v>5849091.4545454523</v>
      </c>
      <c r="AD132" s="11">
        <f>IFERROR(VLOOKUP(E132,'Dự thu chiết khấu'!$L$3:$AM$226,28,0),0)</f>
        <v>0</v>
      </c>
      <c r="AE132" s="11">
        <f>IFERROR(VLOOKUP(E132,'Dự thu chiết khấu'!$L$3:$AN$226,29,0),0)</f>
        <v>0</v>
      </c>
      <c r="AF132" s="11">
        <f>IFERROR(VLOOKUP(E132,'Dự thu chiết khấu'!$L$3:$AO$226,30,0),0)</f>
        <v>0</v>
      </c>
    </row>
    <row r="133" spans="1:32">
      <c r="A133" s="11">
        <v>127</v>
      </c>
      <c r="B133" t="str">
        <f>IFERROR(INDEX('Dự thu chiết khấu'!$E:$E,MATCH(E133,'Dự thu chiết khấu'!$L:$L,0)),"")</f>
        <v>NGUYỄN HỮU ĐỨC</v>
      </c>
      <c r="C133" s="51" t="str">
        <f>IFERROR(INDEX('Dự thu chiết khấu'!$F:$F,MATCH(E133,'Dự thu chiết khấu'!$L:$L,0)),"")</f>
        <v>LÊ THANH XUÂN</v>
      </c>
      <c r="D133" s="4" t="str">
        <f>IFERROR(INDEX('Dự thu chiết khấu'!$H:$H,MATCH(E133,'Dự thu chiết khấu'!$L:$L,0)),"")</f>
        <v>VF 5</v>
      </c>
      <c r="E133" s="4" t="str">
        <f>'Dự thu chiết khấu'!L130</f>
        <v>RLNV5JSE9TH741031</v>
      </c>
      <c r="F133" s="5" t="s">
        <v>122</v>
      </c>
      <c r="G133" s="5" t="str" cm="1">
        <f t="array" ref="G133">IFERROR(INDEX('DT-GV'!$X$6:$X$213,MATCH(1,('DT-GV'!$H$6:$H$213=E133)*('DT-GV'!$R$6:$R$213&lt;&gt;0),0)),IFERROR(VLOOKUP(E133,'DT-GV'!$H$6:$X$213,17,0),""))</f>
        <v>QTKD</v>
      </c>
      <c r="H133" s="6" t="str">
        <f>VLOOKUP(E133,'Dự thu chiết khấu'!$L$3:$M$226,2,0)</f>
        <v>S11008</v>
      </c>
      <c r="I133">
        <v>1</v>
      </c>
      <c r="J133" s="11">
        <f>VLOOKUP(E133,'Dự thu chiết khấu'!$L$3:$P$226,5,0)</f>
        <v>529000000</v>
      </c>
      <c r="K133" s="12">
        <f t="shared" si="13"/>
        <v>31740000</v>
      </c>
      <c r="L133" s="12">
        <f t="shared" si="14"/>
        <v>0</v>
      </c>
      <c r="M133" s="13">
        <f>IFERROR(VLOOKUP(E133,'Dự thu chiết khấu'!$L$3:$R$226,7,0),0)</f>
        <v>0</v>
      </c>
      <c r="N133" s="14">
        <f>IFERROR(VLOOKUP(E133,'Dự thu chiết khấu'!$L$3:$S$226,8,0),0)</f>
        <v>0</v>
      </c>
      <c r="O133" s="11">
        <f>IF(IFERROR(VLOOKUP(E133,'Dự thu chiết khấu'!$L$3:$T$226,9,0),0)&gt;0,J133*$O$5,0)</f>
        <v>0</v>
      </c>
      <c r="P133" s="13">
        <f>IFERROR(VLOOKUP(E133,'Dự thu chiết khấu'!$L$3:$U$226,10,0),0)</f>
        <v>0</v>
      </c>
      <c r="Q133" s="12">
        <f>IFERROR(VLOOKUP(E133,'Dự thu chiết khấu'!$L$3:$V$226,11,0),0)</f>
        <v>0</v>
      </c>
      <c r="R133" s="12">
        <f>VLOOKUP($E133,'Dự thu chiết khấu'!$L$3:$W$226,12,0)</f>
        <v>10000000</v>
      </c>
      <c r="S133" s="12">
        <f t="shared" si="10"/>
        <v>442963636.36363631</v>
      </c>
      <c r="T133" s="11">
        <f t="shared" si="11"/>
        <v>0.363636314868927</v>
      </c>
      <c r="U133" s="15">
        <f>SUMIFS('DT-GV'!$N$6:$N$213,'DT-GV'!$H$6:$H$213,E133,'DT-GV'!$R$6:$R$213,"&lt;&gt;0")</f>
        <v>442963636</v>
      </c>
      <c r="V133" s="48">
        <f>SUMIFS('DT-GV'!$N$6:$N$213,'DT-GV'!$H$6:$H$213,E133,'DT-GV'!$R$6:$R$213,0)</f>
        <v>0</v>
      </c>
      <c r="W133" s="15">
        <f>-SUMIFS('DT-GV'!$R$6:$R$213,'DT-GV'!$H$6:$H$213,E133)</f>
        <v>-461672727</v>
      </c>
      <c r="X133" s="11">
        <f>IFERROR(VLOOKUP($E133,'Dự thu chiết khấu'!$L$3:$AK$226,26,0)/1.1,0)</f>
        <v>27700363.636363633</v>
      </c>
      <c r="Y133" s="11">
        <f>IFERROR(VLOOKUP($E133,'Dự thu chiết khấu'!$L$3:$BE$226,46,0)/1.1,0)</f>
        <v>0</v>
      </c>
      <c r="Z133" s="11">
        <f>-SUMIF('Lương năng suất'!$R$4:$R$208,E133,'Lương năng suất'!$AQ$4:$AQ$208)</f>
        <v>-3600000</v>
      </c>
      <c r="AA133" s="213" t="str">
        <f>IFERROR(IF(ISNUMBER(SEARCH("TẶNG",VLOOKUP(E133,'Dự thu chiết khấu'!$L$3:$AV$226,37,0))),"TẶNG",""),"")</f>
        <v/>
      </c>
      <c r="AB133" s="213" t="str">
        <f>IFERROR(IF(ISNUMBER(SEARCH("TẶNG",VLOOKUP(E133,'Dự thu chiết khấu'!$L$3:$AW$226,38,0))),"TẶNG",""),"")</f>
        <v/>
      </c>
      <c r="AC133" s="49">
        <f t="shared" si="12"/>
        <v>5391272.636363633</v>
      </c>
      <c r="AD133" s="11">
        <f>IFERROR(VLOOKUP(E133,'Dự thu chiết khấu'!$L$3:$AM$226,28,0),0)</f>
        <v>0</v>
      </c>
      <c r="AE133" s="11">
        <f>IFERROR(VLOOKUP(E133,'Dự thu chiết khấu'!$L$3:$AN$226,29,0),0)</f>
        <v>0</v>
      </c>
      <c r="AF133" s="11">
        <f>IFERROR(VLOOKUP(E133,'Dự thu chiết khấu'!$L$3:$AO$226,30,0),0)</f>
        <v>0</v>
      </c>
    </row>
    <row r="134" spans="1:32">
      <c r="A134">
        <v>128</v>
      </c>
      <c r="B134" t="str">
        <f>IFERROR(INDEX('Dự thu chiết khấu'!$E:$E,MATCH(E134,'Dự thu chiết khấu'!$L:$L,0)),"")</f>
        <v>NGUYỄN HUỲNH DUY KHAN</v>
      </c>
      <c r="C134" s="51" t="str">
        <f>IFERROR(INDEX('Dự thu chiết khấu'!$F:$F,MATCH(E134,'Dự thu chiết khấu'!$L:$L,0)),"")</f>
        <v>TRẦN HỮU TRUNG</v>
      </c>
      <c r="D134" s="4" t="str">
        <f>IFERROR(INDEX('Dự thu chiết khấu'!$H:$H,MATCH(E134,'Dự thu chiết khấu'!$L:$L,0)),"")</f>
        <v>VF 7</v>
      </c>
      <c r="E134" s="4" t="str">
        <f>'Dự thu chiết khấu'!L131</f>
        <v>RLLV3FKC9TH741234</v>
      </c>
      <c r="F134" s="5" t="s">
        <v>122</v>
      </c>
      <c r="G134" s="5" t="str" cm="1">
        <f t="array" ref="G134">IFERROR(INDEX('DT-GV'!$X$6:$X$213,MATCH(1,('DT-GV'!$H$6:$H$213=E134)*('DT-GV'!$R$6:$R$213&lt;&gt;0),0)),IFERROR(VLOOKUP(E134,'DT-GV'!$H$6:$X$213,17,0),""))</f>
        <v>QTKD</v>
      </c>
      <c r="H134" s="8" t="str">
        <f>VLOOKUP(E134,'Dự thu chiết khấu'!$L$3:$M$226,2,0)</f>
        <v>S11007</v>
      </c>
      <c r="I134">
        <v>1</v>
      </c>
      <c r="J134" s="11">
        <f>VLOOKUP(E134,'Dự thu chiết khấu'!$L$3:$P$226,5,0)</f>
        <v>889000000</v>
      </c>
      <c r="K134" s="12">
        <f t="shared" si="13"/>
        <v>53340000</v>
      </c>
      <c r="L134" s="12">
        <f t="shared" si="14"/>
        <v>0</v>
      </c>
      <c r="M134" s="13">
        <f>IFERROR(VLOOKUP(E134,'Dự thu chiết khấu'!$L$3:$R$226,7,0),0)</f>
        <v>0</v>
      </c>
      <c r="N134" s="14">
        <f>IFERROR(VLOOKUP(E134,'Dự thu chiết khấu'!$L$3:$S$226,8,0),0)</f>
        <v>0</v>
      </c>
      <c r="O134" s="11">
        <f>IF(IFERROR(VLOOKUP(E134,'Dự thu chiết khấu'!$L$3:$T$226,9,0),0)&gt;0,J134*$O$5,0)</f>
        <v>26670000</v>
      </c>
      <c r="P134" s="13">
        <f>IFERROR(VLOOKUP(E134,'Dự thu chiết khấu'!$L$3:$U$226,10,0),0)</f>
        <v>0</v>
      </c>
      <c r="Q134" s="12">
        <f>IFERROR(VLOOKUP(E134,'Dự thu chiết khấu'!$L$3:$V$226,11,0),0)</f>
        <v>0</v>
      </c>
      <c r="R134" s="12">
        <f>VLOOKUP($E134,'Dự thu chiết khấu'!$L$3:$W$226,12,0)</f>
        <v>15000000</v>
      </c>
      <c r="S134" s="12">
        <f t="shared" si="10"/>
        <v>721809090.90909088</v>
      </c>
      <c r="T134" s="11">
        <f t="shared" si="11"/>
        <v>-9.0909123420715332E-2</v>
      </c>
      <c r="U134" s="15">
        <f>SUMIFS('DT-GV'!$N$6:$N$213,'DT-GV'!$H$6:$H$213,E134,'DT-GV'!$R$6:$R$213,"&lt;&gt;0")</f>
        <v>721809091</v>
      </c>
      <c r="V134" s="48">
        <f>SUMIFS('DT-GV'!$N$6:$N$213,'DT-GV'!$H$6:$H$213,E134,'DT-GV'!$R$6:$R$213,0)</f>
        <v>0</v>
      </c>
      <c r="W134" s="15">
        <f>-SUMIFS('DT-GV'!$R$6:$R$213,'DT-GV'!$H$6:$H$213,E134)</f>
        <v>-771813636</v>
      </c>
      <c r="X134" s="11">
        <f>IFERROR(VLOOKUP($E134,'Dự thu chiết khấu'!$L$3:$AK$226,26,0)/1.1,0)</f>
        <v>69463227.272727266</v>
      </c>
      <c r="Y134" s="11">
        <f>IFERROR(VLOOKUP($E134,'Dự thu chiết khấu'!$L$3:$BE$226,46,0)/1.1,0)</f>
        <v>7354454.5454545449</v>
      </c>
      <c r="Z134" s="11">
        <f>-SUMIF('Lương năng suất'!$R$4:$R$208,E134,'Lương năng suất'!$AQ$4:$AQ$208)</f>
        <v>-10400000</v>
      </c>
      <c r="AA134" s="213" t="str">
        <f>IFERROR(IF(ISNUMBER(SEARCH("TẶNG",VLOOKUP(E134,'Dự thu chiết khấu'!$L$3:$AV$226,37,0))),"TẶNG",""),"")</f>
        <v/>
      </c>
      <c r="AB134" s="213" t="str">
        <f>IFERROR(IF(ISNUMBER(SEARCH("TẶNG",VLOOKUP(E134,'Dự thu chiết khấu'!$L$3:$AW$226,38,0))),"TẶNG",""),"")</f>
        <v/>
      </c>
      <c r="AC134" s="49">
        <f t="shared" si="12"/>
        <v>16413136.818181813</v>
      </c>
      <c r="AD134" s="11">
        <f>IFERROR(VLOOKUP(E134,'Dự thu chiết khấu'!$L$3:$AM$226,28,0),0)</f>
        <v>0</v>
      </c>
      <c r="AE134" s="11">
        <f>IFERROR(VLOOKUP(E134,'Dự thu chiết khấu'!$L$3:$AN$226,29,0),0)</f>
        <v>0</v>
      </c>
      <c r="AF134" s="11">
        <f>IFERROR(VLOOKUP(E134,'Dự thu chiết khấu'!$L$3:$AO$226,30,0),0)</f>
        <v>0</v>
      </c>
    </row>
    <row r="135" spans="1:32" s="52" customFormat="1">
      <c r="A135" s="11">
        <v>129</v>
      </c>
      <c r="B135" t="str">
        <f>IFERROR(INDEX('Dự thu chiết khấu'!$E:$E,MATCH(E135,'Dự thu chiết khấu'!$L:$L,0)),"")</f>
        <v>HUỲNH THIÊN ĐỨC</v>
      </c>
      <c r="C135" s="51" t="str">
        <f>IFERROR(INDEX('Dự thu chiết khấu'!$F:$F,MATCH(E135,'Dự thu chiết khấu'!$L:$L,0)),"")</f>
        <v>NGUYỄN THỊ PHƯƠNG GIÀU</v>
      </c>
      <c r="D135" s="4" t="str">
        <f>IFERROR(INDEX('Dự thu chiết khấu'!$H:$H,MATCH(E135,'Dự thu chiết khấu'!$L:$L,0)),"")</f>
        <v>VF 3</v>
      </c>
      <c r="E135" s="4" t="str">
        <f>'Dự thu chiết khấu'!L132</f>
        <v>RLNVBL9K8TT710723</v>
      </c>
      <c r="F135" s="5" t="s">
        <v>122</v>
      </c>
      <c r="G135" s="5" t="str" cm="1">
        <f t="array" ref="G135">IFERROR(INDEX('DT-GV'!$X$6:$X$213,MATCH(1,('DT-GV'!$H$6:$H$213=E135)*('DT-GV'!$R$6:$R$213&lt;&gt;0),0)),IFERROR(VLOOKUP(E135,'DT-GV'!$H$6:$X$213,17,0),""))</f>
        <v>QTKD</v>
      </c>
      <c r="H135" s="53" t="str">
        <f>VLOOKUP(E135,'Dự thu chiết khấu'!$L$3:$M$226,2,0)</f>
        <v>S11007</v>
      </c>
      <c r="I135" s="52">
        <v>1</v>
      </c>
      <c r="J135" s="54">
        <f>VLOOKUP(E135,'Dự thu chiết khấu'!$L$3:$P$226,5,0)</f>
        <v>302000000</v>
      </c>
      <c r="K135" s="55">
        <f t="shared" ref="K135:K166" si="15">IF(M135&gt;0,0,IF(OR(LEFT(SUBSTITUTE(UPPER(D135)," ",""),3)="VF8",LEFT(SUBSTITUTE(UPPER(D135)," ",""),3)="VF9"),0,J135*$K$5))</f>
        <v>18120000</v>
      </c>
      <c r="L135" s="55">
        <f t="shared" ref="L135:L166" si="16">IF(M135&gt;0,0,IF(OR(LEFT(SUBSTITUTE(UPPER(D135)," ",""),3)="VF8",LEFT(SUBSTITUTE(UPPER(D135)," ",""),3)="VF9"),J135*$L$5,0))</f>
        <v>0</v>
      </c>
      <c r="M135" s="56">
        <f>IFERROR(VLOOKUP(E135,'Dự thu chiết khấu'!$L$3:$R$226,7,0),0)</f>
        <v>0</v>
      </c>
      <c r="N135" s="14">
        <f>IFERROR(VLOOKUP(E135,'Dự thu chiết khấu'!$L$3:$S$226,8,0),0)</f>
        <v>0</v>
      </c>
      <c r="O135" s="54">
        <f>IF(IFERROR(VLOOKUP(E135,'Dự thu chiết khấu'!$L$3:$T$226,9,0),0)&gt;0,J135*$O$5,0)</f>
        <v>0</v>
      </c>
      <c r="P135" s="56">
        <f>IFERROR(VLOOKUP(E135,'Dự thu chiết khấu'!$L$3:$U$226,10,0),0)</f>
        <v>0</v>
      </c>
      <c r="Q135" s="55">
        <f>IFERROR(VLOOKUP(E135,'Dự thu chiết khấu'!$L$3:$V$226,11,0),0)</f>
        <v>0</v>
      </c>
      <c r="R135" s="55">
        <f>VLOOKUP($E135,'Dự thu chiết khấu'!$L$3:$W$226,12,0)</f>
        <v>6000000</v>
      </c>
      <c r="S135" s="12">
        <f t="shared" si="10"/>
        <v>252618181.81818178</v>
      </c>
      <c r="T135" s="11">
        <f t="shared" si="11"/>
        <v>-0.18181821703910828</v>
      </c>
      <c r="U135" s="15">
        <f>SUMIFS('DT-GV'!$N$6:$N$213,'DT-GV'!$H$6:$H$213,E135,'DT-GV'!$R$6:$R$213,"&lt;&gt;0")</f>
        <v>252618182</v>
      </c>
      <c r="V135" s="48">
        <f>SUMIFS('DT-GV'!$N$6:$N$213,'DT-GV'!$H$6:$H$213,E135,'DT-GV'!$R$6:$R$213,0)</f>
        <v>0</v>
      </c>
      <c r="W135" s="15">
        <f>-SUMIFS('DT-GV'!$R$6:$R$213,'DT-GV'!$H$6:$H$213,E135)</f>
        <v>-263563636</v>
      </c>
      <c r="X135" s="54">
        <f>IFERROR(VLOOKUP($E135,'Dự thu chiết khấu'!$L$3:$AK$226,26,0)/1.1,0)</f>
        <v>15813817.818181839</v>
      </c>
      <c r="Y135" s="54">
        <f>IFERROR(VLOOKUP($E135,'Dự thu chiết khấu'!$L$3:$BE$226,46,0)/1.1,0)</f>
        <v>2580727.2727272725</v>
      </c>
      <c r="Z135" s="11">
        <f>-SUMIF('Lương năng suất'!$R$4:$R$208,E135,'Lương năng suất'!$AQ$4:$AQ$208)</f>
        <v>-1200000</v>
      </c>
      <c r="AA135" s="214" t="str">
        <f>IFERROR(IF(ISNUMBER(SEARCH("TẶNG",VLOOKUP(E135,'Dự thu chiết khấu'!$L$3:$AV$226,37,0))),"TẶNG",""),"")</f>
        <v/>
      </c>
      <c r="AB135" s="214" t="str">
        <f>IFERROR(IF(ISNUMBER(SEARCH("TẶNG",VLOOKUP(E135,'Dự thu chiết khấu'!$L$3:$AW$226,38,0))),"TẶNG",""),"")</f>
        <v/>
      </c>
      <c r="AC135" s="57">
        <f t="shared" si="12"/>
        <v>6249091.0909091113</v>
      </c>
      <c r="AD135" s="11">
        <f>IFERROR(VLOOKUP(E135,'Dự thu chiết khấu'!$L$3:$AM$226,28,0),0)</f>
        <v>0</v>
      </c>
      <c r="AE135" s="11">
        <f>IFERROR(VLOOKUP(E135,'Dự thu chiết khấu'!$L$3:$AN$226,29,0),0)</f>
        <v>0</v>
      </c>
      <c r="AF135" s="11">
        <f>IFERROR(VLOOKUP(E135,'Dự thu chiết khấu'!$L$3:$AO$226,30,0),0)</f>
        <v>0</v>
      </c>
    </row>
    <row r="136" spans="1:32">
      <c r="A136">
        <v>130</v>
      </c>
      <c r="B136" t="str">
        <f>IFERROR(INDEX('Dự thu chiết khấu'!$E:$E,MATCH(E136,'Dự thu chiết khấu'!$L:$L,0)),"")</f>
        <v>NGUYỄN MINH PHƯƠNG</v>
      </c>
      <c r="C136" s="51" t="str">
        <f>IFERROR(INDEX('Dự thu chiết khấu'!$F:$F,MATCH(E136,'Dự thu chiết khấu'!$L:$L,0)),"")</f>
        <v>HUỲNH TUẤN KHANG</v>
      </c>
      <c r="D136" s="4" t="str">
        <f>IFERROR(INDEX('Dự thu chiết khấu'!$H:$H,MATCH(E136,'Dự thu chiết khấu'!$L:$L,0)),"")</f>
        <v>MPV 7</v>
      </c>
      <c r="E136" s="4" t="str">
        <f>'Dự thu chiết khấu'!L133</f>
        <v>RLLVFPTTXTH726298</v>
      </c>
      <c r="F136" s="5" t="s">
        <v>122</v>
      </c>
      <c r="G136" s="5" t="str" cm="1">
        <f t="array" ref="G136">IFERROR(INDEX('DT-GV'!$X$6:$X$213,MATCH(1,('DT-GV'!$H$6:$H$213=E136)*('DT-GV'!$R$6:$R$213&lt;&gt;0),0)),IFERROR(VLOOKUP(E136,'DT-GV'!$H$6:$X$213,17,0),""))</f>
        <v>QTKD</v>
      </c>
      <c r="H136" s="6" t="str">
        <f>VLOOKUP(E136,'Dự thu chiết khấu'!$L$3:$M$226,2,0)</f>
        <v>S11007</v>
      </c>
      <c r="I136">
        <v>1</v>
      </c>
      <c r="J136" s="11">
        <f>VLOOKUP(E136,'Dự thu chiết khấu'!$L$3:$P$226,5,0)</f>
        <v>819000000</v>
      </c>
      <c r="K136" s="12">
        <f t="shared" si="15"/>
        <v>49140000</v>
      </c>
      <c r="L136" s="12">
        <f t="shared" si="16"/>
        <v>0</v>
      </c>
      <c r="M136" s="13">
        <f>IFERROR(VLOOKUP(E136,'Dự thu chiết khấu'!$L$3:$R$226,7,0),0)</f>
        <v>0</v>
      </c>
      <c r="N136" s="14">
        <f>IFERROR(VLOOKUP(E136,'Dự thu chiết khấu'!$L$3:$S$226,8,0),0)</f>
        <v>1.4999999999999999E-2</v>
      </c>
      <c r="O136" s="11">
        <f>IF(IFERROR(VLOOKUP(E136,'Dự thu chiết khấu'!$L$3:$T$226,9,0),0)&gt;0,J136*$O$5,0)</f>
        <v>0</v>
      </c>
      <c r="P136" s="13">
        <f>IFERROR(VLOOKUP(E136,'Dự thu chiết khấu'!$L$3:$U$226,10,0),0)</f>
        <v>0</v>
      </c>
      <c r="Q136" s="12">
        <f>IFERROR(VLOOKUP(E136,'Dự thu chiết khấu'!$L$3:$V$226,11,0),0)</f>
        <v>0</v>
      </c>
      <c r="R136" s="12">
        <f>VLOOKUP($E136,'Dự thu chiết khấu'!$L$3:$W$226,12,0)</f>
        <v>15000000</v>
      </c>
      <c r="S136" s="12">
        <f t="shared" ref="S136:S199" si="17">(J136-K136-L136-O136-P136*J136-R136-Q136-(J136-K136-L136-AD136-AE136-AF136-Q136-O136-(P136*J136))*N136)/1.1</f>
        <v>675738272.72727263</v>
      </c>
      <c r="T136" s="11">
        <f t="shared" ref="T136:T199" si="18">S136-SUM(U136:V136)</f>
        <v>-0.272727370262146</v>
      </c>
      <c r="U136" s="15">
        <f>SUMIFS('DT-GV'!$N$6:$N$213,'DT-GV'!$H$6:$H$213,E136,'DT-GV'!$R$6:$R$213,"&lt;&gt;0")</f>
        <v>675738273</v>
      </c>
      <c r="V136" s="48">
        <f>SUMIFS('DT-GV'!$N$6:$N$213,'DT-GV'!$H$6:$H$213,E136,'DT-GV'!$R$6:$R$213,0)</f>
        <v>0</v>
      </c>
      <c r="W136" s="15">
        <f>-SUMIFS('DT-GV'!$R$6:$R$213,'DT-GV'!$H$6:$H$213,E136)</f>
        <v>-714763636</v>
      </c>
      <c r="X136" s="11">
        <f>IFERROR(VLOOKUP($E136,'Dự thu chiết khấu'!$L$3:$AK$226,26,0)/1.1,0)</f>
        <v>52963985.454545453</v>
      </c>
      <c r="Y136" s="11">
        <f>IFERROR(VLOOKUP($E136,'Dự thu chiết khấu'!$L$3:$BE$226,46,0)/1.1,0)</f>
        <v>6893746.3636363633</v>
      </c>
      <c r="Z136" s="11">
        <f>-SUMIF('Lương năng suất'!$R$4:$R$208,E136,'Lương năng suất'!$AQ$4:$AQ$208)</f>
        <v>-4000000</v>
      </c>
      <c r="AA136" s="213" t="str">
        <f>IFERROR(IF(ISNUMBER(SEARCH("TẶNG",VLOOKUP(E136,'Dự thu chiết khấu'!$L$3:$AV$226,37,0))),"TẶNG",""),"")</f>
        <v/>
      </c>
      <c r="AB136" s="213" t="str">
        <f>IFERROR(IF(ISNUMBER(SEARCH("TẶNG",VLOOKUP(E136,'Dự thu chiết khấu'!$L$3:$AW$226,38,0))),"TẶNG",""),"")</f>
        <v/>
      </c>
      <c r="AC136" s="49">
        <f t="shared" ref="AC136:AC199" si="19">SUM(U136:AB136)</f>
        <v>16832368.818181816</v>
      </c>
      <c r="AD136" s="11">
        <f>IFERROR(VLOOKUP(E136,'Dự thu chiết khấu'!$L$3:$AM$226,28,0),0)</f>
        <v>0</v>
      </c>
      <c r="AE136" s="11">
        <f>IFERROR(VLOOKUP(E136,'Dự thu chiết khấu'!$L$3:$AN$226,29,0),0)</f>
        <v>0</v>
      </c>
      <c r="AF136" s="11">
        <f>IFERROR(VLOOKUP(E136,'Dự thu chiết khấu'!$L$3:$AO$226,30,0),0)</f>
        <v>0</v>
      </c>
    </row>
    <row r="137" spans="1:32">
      <c r="A137" s="11">
        <v>131</v>
      </c>
      <c r="B137" t="str">
        <f>IFERROR(INDEX('Dự thu chiết khấu'!$E:$E,MATCH(E137,'Dự thu chiết khấu'!$L:$L,0)),"")</f>
        <v>Võ Hoài Nhật</v>
      </c>
      <c r="C137" s="51" t="str">
        <f>IFERROR(INDEX('Dự thu chiết khấu'!$F:$F,MATCH(E137,'Dự thu chiết khấu'!$L:$L,0)),"")</f>
        <v>Tiêu Trần Minh Hương</v>
      </c>
      <c r="D137" s="4" t="str">
        <f>IFERROR(INDEX('Dự thu chiết khấu'!$H:$H,MATCH(E137,'Dự thu chiết khấu'!$L:$L,0)),"")</f>
        <v>VF 3</v>
      </c>
      <c r="E137" s="4" t="str">
        <f>'Dự thu chiết khấu'!L134</f>
        <v>RLNVBL9K2TT709857</v>
      </c>
      <c r="F137" s="5" t="s">
        <v>138</v>
      </c>
      <c r="G137" s="5" t="str" cm="1">
        <f t="array" ref="G137">IFERROR(INDEX('DT-GV'!$X$6:$X$213,MATCH(1,('DT-GV'!$H$6:$H$213=E137)*('DT-GV'!$R$6:$R$213&lt;&gt;0),0)),IFERROR(VLOOKUP(E137,'DT-GV'!$H$6:$X$213,17,0),""))</f>
        <v>Q9KD</v>
      </c>
      <c r="H137" s="8" t="str">
        <f>VLOOKUP(E137,'Dự thu chiết khấu'!$L$3:$M$226,2,0)</f>
        <v>S11007</v>
      </c>
      <c r="I137">
        <v>1</v>
      </c>
      <c r="J137" s="11">
        <f>VLOOKUP(E137,'Dự thu chiết khấu'!$L$3:$P$226,5,0)</f>
        <v>315000000</v>
      </c>
      <c r="K137" s="12">
        <f t="shared" si="15"/>
        <v>18900000</v>
      </c>
      <c r="L137" s="12">
        <f t="shared" si="16"/>
        <v>0</v>
      </c>
      <c r="M137" s="13">
        <f>IFERROR(VLOOKUP(E137,'Dự thu chiết khấu'!$L$3:$R$226,7,0),0)</f>
        <v>0</v>
      </c>
      <c r="N137" s="14">
        <f>IFERROR(VLOOKUP(E137,'Dự thu chiết khấu'!$L$3:$S$226,8,0),0)</f>
        <v>0.01</v>
      </c>
      <c r="O137" s="11">
        <f>IF(IFERROR(VLOOKUP(E137,'Dự thu chiết khấu'!$L$3:$T$226,9,0),0)&gt;0,J137*$O$5,0)</f>
        <v>0</v>
      </c>
      <c r="P137" s="13">
        <f>IFERROR(VLOOKUP(E137,'Dự thu chiết khấu'!$L$3:$U$226,10,0),0)</f>
        <v>0</v>
      </c>
      <c r="Q137" s="12">
        <f>IFERROR(VLOOKUP(E137,'Dự thu chiết khấu'!$L$3:$V$226,11,0),0)</f>
        <v>0</v>
      </c>
      <c r="R137" s="12">
        <f>VLOOKUP($E137,'Dự thu chiết khấu'!$L$3:$W$226,12,0)</f>
        <v>5000000</v>
      </c>
      <c r="S137" s="12">
        <f t="shared" si="17"/>
        <v>261944545.45454544</v>
      </c>
      <c r="T137" s="11">
        <f t="shared" si="18"/>
        <v>0.45454543828964233</v>
      </c>
      <c r="U137" s="15">
        <f>SUMIFS('DT-GV'!$N$6:$N$213,'DT-GV'!$H$6:$H$213,E137,'DT-GV'!$R$6:$R$213,"&lt;&gt;0")</f>
        <v>261944545</v>
      </c>
      <c r="V137" s="48">
        <f>SUMIFS('DT-GV'!$N$6:$N$213,'DT-GV'!$H$6:$H$213,E137,'DT-GV'!$R$6:$R$213,0)</f>
        <v>0</v>
      </c>
      <c r="W137" s="15">
        <f>-SUMIFS('DT-GV'!$R$6:$R$213,'DT-GV'!$H$6:$H$213,E137)</f>
        <v>-274909091</v>
      </c>
      <c r="X137" s="11">
        <f>IFERROR(VLOOKUP($E137,'Dự thu chiết khấu'!$L$3:$AK$226,26,0)/1.1,0)</f>
        <v>19078690.909090906</v>
      </c>
      <c r="Y137" s="11">
        <f>IFERROR(VLOOKUP($E137,'Dự thu chiết khấu'!$L$3:$BE$226,46,0)/1.1,0)</f>
        <v>2664900</v>
      </c>
      <c r="Z137" s="11">
        <f>-SUMIF('Lương năng suất'!$R$4:$R$208,E137,'Lương năng suất'!$AQ$4:$AQ$208)</f>
        <v>-2100000</v>
      </c>
      <c r="AA137" s="213" t="str">
        <f>IFERROR(IF(ISNUMBER(SEARCH("TẶNG",VLOOKUP(E137,'Dự thu chiết khấu'!$L$3:$AV$226,37,0))),"TẶNG",""),"")</f>
        <v/>
      </c>
      <c r="AB137" s="213" t="str">
        <f>IFERROR(IF(ISNUMBER(SEARCH("TẶNG",VLOOKUP(E137,'Dự thu chiết khấu'!$L$3:$AW$226,38,0))),"TẶNG",""),"")</f>
        <v/>
      </c>
      <c r="AC137" s="49">
        <f t="shared" si="19"/>
        <v>6679044.9090909064</v>
      </c>
      <c r="AD137" s="11">
        <f>IFERROR(VLOOKUP(E137,'Dự thu chiết khấu'!$L$3:$AM$226,28,0),0)</f>
        <v>0</v>
      </c>
      <c r="AE137" s="11">
        <f>IFERROR(VLOOKUP(E137,'Dự thu chiết khấu'!$L$3:$AN$226,29,0),0)</f>
        <v>0</v>
      </c>
      <c r="AF137" s="11">
        <f>IFERROR(VLOOKUP(E137,'Dự thu chiết khấu'!$L$3:$AO$226,30,0),0)</f>
        <v>0</v>
      </c>
    </row>
    <row r="138" spans="1:32">
      <c r="A138">
        <v>132</v>
      </c>
      <c r="B138" t="str">
        <f>IFERROR(INDEX('Dự thu chiết khấu'!$E:$E,MATCH(E138,'Dự thu chiết khấu'!$L:$L,0)),"")</f>
        <v>La Trọng Hiếu</v>
      </c>
      <c r="C138" s="51" t="str">
        <f>IFERROR(INDEX('Dự thu chiết khấu'!$F:$F,MATCH(E138,'Dự thu chiết khấu'!$L:$L,0)),"")</f>
        <v>Huỳnh Thới Em</v>
      </c>
      <c r="D138" s="4" t="str">
        <f>IFERROR(INDEX('Dự thu chiết khấu'!$H:$H,MATCH(E138,'Dự thu chiết khấu'!$L:$L,0)),"")</f>
        <v>VF 5</v>
      </c>
      <c r="E138" s="4" t="str">
        <f>'Dự thu chiết khấu'!L135</f>
        <v>RLNV5JSE8TH747175</v>
      </c>
      <c r="F138" s="5" t="s">
        <v>138</v>
      </c>
      <c r="G138" s="5" t="str" cm="1">
        <f t="array" ref="G138">IFERROR(INDEX('DT-GV'!$X$6:$X$213,MATCH(1,('DT-GV'!$H$6:$H$213=E138)*('DT-GV'!$R$6:$R$213&lt;&gt;0),0)),IFERROR(VLOOKUP(E138,'DT-GV'!$H$6:$X$213,17,0),""))</f>
        <v>Q9KD</v>
      </c>
      <c r="H138" s="6" t="str">
        <f>VLOOKUP(E138,'Dự thu chiết khấu'!$L$3:$M$226,2,0)</f>
        <v>S11007</v>
      </c>
      <c r="I138">
        <v>1</v>
      </c>
      <c r="J138" s="11">
        <f>VLOOKUP(E138,'Dự thu chiết khấu'!$L$3:$P$226,5,0)</f>
        <v>537000000</v>
      </c>
      <c r="K138" s="12">
        <f t="shared" si="15"/>
        <v>32220000</v>
      </c>
      <c r="L138" s="12">
        <f t="shared" si="16"/>
        <v>0</v>
      </c>
      <c r="M138" s="13">
        <f>IFERROR(VLOOKUP(E138,'Dự thu chiết khấu'!$L$3:$R$226,7,0),0)</f>
        <v>0</v>
      </c>
      <c r="N138" s="14">
        <f>IFERROR(VLOOKUP(E138,'Dự thu chiết khấu'!$L$3:$S$226,8,0),0)</f>
        <v>0</v>
      </c>
      <c r="O138" s="11">
        <f>IF(IFERROR(VLOOKUP(E138,'Dự thu chiết khấu'!$L$3:$T$226,9,0),0)&gt;0,J138*$O$5,0)</f>
        <v>0</v>
      </c>
      <c r="P138" s="13">
        <f>IFERROR(VLOOKUP(E138,'Dự thu chiết khấu'!$L$3:$U$226,10,0),0)</f>
        <v>0</v>
      </c>
      <c r="Q138" s="12">
        <f>IFERROR(VLOOKUP(E138,'Dự thu chiết khấu'!$L$3:$V$226,11,0),0)</f>
        <v>0</v>
      </c>
      <c r="R138" s="12">
        <f>VLOOKUP($E138,'Dự thu chiết khấu'!$L$3:$W$226,12,0)</f>
        <v>9000000</v>
      </c>
      <c r="S138" s="12">
        <f t="shared" si="17"/>
        <v>450709090.90909088</v>
      </c>
      <c r="T138" s="11">
        <f t="shared" si="18"/>
        <v>-9.0909123420715332E-2</v>
      </c>
      <c r="U138" s="15">
        <f>SUMIFS('DT-GV'!$N$6:$N$213,'DT-GV'!$H$6:$H$213,E138,'DT-GV'!$R$6:$R$213,"&lt;&gt;0")</f>
        <v>450709091</v>
      </c>
      <c r="V138" s="48">
        <f>SUMIFS('DT-GV'!$N$6:$N$213,'DT-GV'!$H$6:$H$213,E138,'DT-GV'!$R$6:$R$213,0)</f>
        <v>0</v>
      </c>
      <c r="W138" s="15">
        <f>-SUMIFS('DT-GV'!$R$6:$R$213,'DT-GV'!$H$6:$H$213,E138)</f>
        <v>-468654545</v>
      </c>
      <c r="X138" s="11">
        <f>IFERROR(VLOOKUP($E138,'Dự thu chiết khấu'!$L$3:$AK$226,26,0)/1.1,0)</f>
        <v>28119272.727272727</v>
      </c>
      <c r="Y138" s="11">
        <f>IFERROR(VLOOKUP($E138,'Dự thu chiết khấu'!$L$3:$BE$226,46,0)/1.1,0)</f>
        <v>4588909.0909090908</v>
      </c>
      <c r="Z138" s="11">
        <f>-SUMIF('Lương năng suất'!$R$4:$R$208,E138,'Lương năng suất'!$AQ$4:$AQ$208)</f>
        <v>-6896296.4722998505</v>
      </c>
      <c r="AA138" s="213" t="str">
        <f>IFERROR(IF(ISNUMBER(SEARCH("TẶNG",VLOOKUP(E138,'Dự thu chiết khấu'!$L$3:$AV$226,37,0))),"TẶNG",""),"")</f>
        <v/>
      </c>
      <c r="AB138" s="213" t="str">
        <f>IFERROR(IF(ISNUMBER(SEARCH("TẶNG",VLOOKUP(E138,'Dự thu chiết khấu'!$L$3:$AW$226,38,0))),"TẶNG",""),"")</f>
        <v/>
      </c>
      <c r="AC138" s="49">
        <f t="shared" si="19"/>
        <v>7866431.3458819659</v>
      </c>
      <c r="AD138" s="11">
        <f>IFERROR(VLOOKUP(E138,'Dự thu chiết khấu'!$L$3:$AM$226,28,0),0)</f>
        <v>0</v>
      </c>
      <c r="AE138" s="11">
        <f>IFERROR(VLOOKUP(E138,'Dự thu chiết khấu'!$L$3:$AN$226,29,0),0)</f>
        <v>0</v>
      </c>
      <c r="AF138" s="11">
        <f>IFERROR(VLOOKUP(E138,'Dự thu chiết khấu'!$L$3:$AO$226,30,0),0)</f>
        <v>0</v>
      </c>
    </row>
    <row r="139" spans="1:32">
      <c r="A139" s="11">
        <v>133</v>
      </c>
      <c r="B139" t="str">
        <f>IFERROR(INDEX('Dự thu chiết khấu'!$E:$E,MATCH(E139,'Dự thu chiết khấu'!$L:$L,0)),"")</f>
        <v>Đặng Quang Thắng</v>
      </c>
      <c r="C139" s="51" t="str">
        <f>IFERROR(INDEX('Dự thu chiết khấu'!$F:$F,MATCH(E139,'Dự thu chiết khấu'!$L:$L,0)),"")</f>
        <v>Triệu Ngọc Toàn</v>
      </c>
      <c r="D139" s="4" t="str">
        <f>IFERROR(INDEX('Dự thu chiết khấu'!$H:$H,MATCH(E139,'Dự thu chiết khấu'!$L:$L,0)),"")</f>
        <v>VF 8</v>
      </c>
      <c r="E139" s="4" t="str">
        <f>'Dự thu chiết khấu'!L136</f>
        <v>RLLV1AUAXTH997323</v>
      </c>
      <c r="F139" s="5" t="s">
        <v>138</v>
      </c>
      <c r="G139" s="5" t="str" cm="1">
        <f t="array" ref="G139">IFERROR(INDEX('DT-GV'!$X$6:$X$213,MATCH(1,('DT-GV'!$H$6:$H$213=E139)*('DT-GV'!$R$6:$R$213&lt;&gt;0),0)),IFERROR(VLOOKUP(E139,'DT-GV'!$H$6:$X$213,17,0),""))</f>
        <v>Q9KD</v>
      </c>
      <c r="H139" s="6" t="str">
        <f>VLOOKUP(E139,'Dự thu chiết khấu'!$L$3:$M$226,2,0)</f>
        <v>S11007</v>
      </c>
      <c r="I139">
        <v>1</v>
      </c>
      <c r="J139" s="11">
        <f>VLOOKUP(E139,'Dự thu chiết khấu'!$L$3:$P$226,5,0)</f>
        <v>1199000000</v>
      </c>
      <c r="K139" s="12">
        <f t="shared" si="15"/>
        <v>0</v>
      </c>
      <c r="L139" s="12">
        <f t="shared" si="16"/>
        <v>119900000</v>
      </c>
      <c r="M139" s="13">
        <f>IFERROR(VLOOKUP(E139,'Dự thu chiết khấu'!$L$3:$R$226,7,0),0)</f>
        <v>0</v>
      </c>
      <c r="N139" s="14">
        <f>IFERROR(VLOOKUP(E139,'Dự thu chiết khấu'!$L$3:$S$226,8,0),0)</f>
        <v>5.0000000000000001E-3</v>
      </c>
      <c r="O139" s="11">
        <f>IF(IFERROR(VLOOKUP(E139,'Dự thu chiết khấu'!$L$3:$T$226,9,0),0)&gt;0,J139*$O$5,0)</f>
        <v>35970000</v>
      </c>
      <c r="P139" s="13">
        <f>IFERROR(VLOOKUP(E139,'Dự thu chiết khấu'!$L$3:$U$226,10,0),0)</f>
        <v>0</v>
      </c>
      <c r="Q139" s="12">
        <f>IFERROR(VLOOKUP(E139,'Dự thu chiết khấu'!$L$3:$V$226,11,0),0)</f>
        <v>0</v>
      </c>
      <c r="R139" s="12">
        <f>VLOOKUP($E139,'Dự thu chiết khấu'!$L$3:$W$226,12,0)</f>
        <v>19900000</v>
      </c>
      <c r="S139" s="12">
        <f t="shared" si="17"/>
        <v>925467590.90909088</v>
      </c>
      <c r="T139" s="11">
        <f t="shared" si="18"/>
        <v>-9.0909123420715332E-2</v>
      </c>
      <c r="U139" s="15">
        <f>SUMIFS('DT-GV'!$N$6:$N$213,'DT-GV'!$H$6:$H$213,E139,'DT-GV'!$R$6:$R$213,"&lt;&gt;0")</f>
        <v>925467591</v>
      </c>
      <c r="V139" s="48">
        <f>SUMIFS('DT-GV'!$N$6:$N$213,'DT-GV'!$H$6:$H$213,E139,'DT-GV'!$R$6:$R$213,0)</f>
        <v>0</v>
      </c>
      <c r="W139" s="15">
        <f>-SUMIFS('DT-GV'!$R$6:$R$213,'DT-GV'!$H$6:$H$213,E139)</f>
        <v>-1030050000</v>
      </c>
      <c r="X139" s="11">
        <f>IFERROR(VLOOKUP($E139,'Dự thu chiết khấu'!$L$3:$AK$226,26,0)/1.1,0)</f>
        <v>138387217.5</v>
      </c>
      <c r="Y139" s="11">
        <f>IFERROR(VLOOKUP($E139,'Dự thu chiết khấu'!$L$3:$BE$226,46,0)/1.1,0)</f>
        <v>18871170</v>
      </c>
      <c r="Z139" s="11">
        <f>-SUMIF('Lương năng suất'!$R$4:$R$208,E139,'Lương năng suất'!$AQ$4:$AQ$208)</f>
        <v>-20100000</v>
      </c>
      <c r="AA139" s="213" t="str">
        <f>IFERROR(IF(ISNUMBER(SEARCH("TẶNG",VLOOKUP(E139,'Dự thu chiết khấu'!$L$3:$AV$226,37,0))),"TẶNG",""),"")</f>
        <v/>
      </c>
      <c r="AB139" s="213" t="str">
        <f>IFERROR(IF(ISNUMBER(SEARCH("TẶNG",VLOOKUP(E139,'Dự thu chiết khấu'!$L$3:$AW$226,38,0))),"TẶNG",""),"")</f>
        <v/>
      </c>
      <c r="AC139" s="49">
        <f t="shared" si="19"/>
        <v>32575978.5</v>
      </c>
      <c r="AD139" s="11">
        <f>IFERROR(VLOOKUP(E139,'Dự thu chiết khấu'!$L$3:$AM$226,28,0),0)</f>
        <v>0</v>
      </c>
      <c r="AE139" s="11">
        <f>IFERROR(VLOOKUP(E139,'Dự thu chiết khấu'!$L$3:$AN$226,29,0),0)</f>
        <v>0</v>
      </c>
      <c r="AF139" s="11">
        <f>IFERROR(VLOOKUP(E139,'Dự thu chiết khấu'!$L$3:$AO$226,30,0),0)</f>
        <v>0</v>
      </c>
    </row>
    <row r="140" spans="1:32">
      <c r="A140">
        <v>134</v>
      </c>
      <c r="B140" t="str">
        <f>IFERROR(INDEX('Dự thu chiết khấu'!$E:$E,MATCH(E140,'Dự thu chiết khấu'!$L:$L,0)),"")</f>
        <v>Nguyễn Minh Trí</v>
      </c>
      <c r="C140" s="51" t="str">
        <f>IFERROR(INDEX('Dự thu chiết khấu'!$F:$F,MATCH(E140,'Dự thu chiết khấu'!$L:$L,0)),"")</f>
        <v>Nguyễn Thị Tố Quyên</v>
      </c>
      <c r="D140" s="4" t="str">
        <f>IFERROR(INDEX('Dự thu chiết khấu'!$H:$H,MATCH(E140,'Dự thu chiết khấu'!$L:$L,0)),"")</f>
        <v>MPV 7</v>
      </c>
      <c r="E140" s="4" t="str">
        <f>'Dự thu chiết khấu'!L137</f>
        <v>RLLVFPTT1TH739229</v>
      </c>
      <c r="F140" s="5" t="s">
        <v>138</v>
      </c>
      <c r="G140" s="5" t="str" cm="1">
        <f t="array" ref="G140">IFERROR(INDEX('DT-GV'!$X$6:$X$213,MATCH(1,('DT-GV'!$H$6:$H$213=E140)*('DT-GV'!$R$6:$R$213&lt;&gt;0),0)),IFERROR(VLOOKUP(E140,'DT-GV'!$H$6:$X$213,17,0),""))</f>
        <v>Q9KD</v>
      </c>
      <c r="H140" s="6" t="str">
        <f>VLOOKUP(E140,'Dự thu chiết khấu'!$L$3:$M$226,2,0)</f>
        <v>S11007</v>
      </c>
      <c r="I140">
        <v>1</v>
      </c>
      <c r="J140" s="11">
        <f>VLOOKUP(E140,'Dự thu chiết khấu'!$L$3:$P$226,5,0)</f>
        <v>819000000</v>
      </c>
      <c r="K140" s="12">
        <f t="shared" si="15"/>
        <v>0</v>
      </c>
      <c r="L140" s="12">
        <f t="shared" si="16"/>
        <v>0</v>
      </c>
      <c r="M140" s="13">
        <f>IFERROR(VLOOKUP(E140,'Dự thu chiết khấu'!$L$3:$R$226,7,0),0)</f>
        <v>7.0000000000000007E-2</v>
      </c>
      <c r="N140" s="14">
        <f>IFERROR(VLOOKUP(E140,'Dự thu chiết khấu'!$L$3:$S$226,8,0),0)</f>
        <v>0</v>
      </c>
      <c r="O140" s="11">
        <f>IF(IFERROR(VLOOKUP(E140,'Dự thu chiết khấu'!$L$3:$T$226,9,0),0)&gt;0,J140*$O$5,0)</f>
        <v>0</v>
      </c>
      <c r="P140" s="13">
        <f>IFERROR(VLOOKUP(E140,'Dự thu chiết khấu'!$L$3:$U$226,10,0),0)</f>
        <v>0</v>
      </c>
      <c r="Q140" s="12">
        <f>IFERROR(VLOOKUP(E140,'Dự thu chiết khấu'!$L$3:$V$226,11,0),0)</f>
        <v>0</v>
      </c>
      <c r="R140" s="12">
        <f>VLOOKUP($E140,'Dự thu chiết khấu'!$L$3:$W$226,12,0)</f>
        <v>10000000</v>
      </c>
      <c r="S140" s="12">
        <f t="shared" si="17"/>
        <v>735454545.45454538</v>
      </c>
      <c r="T140" s="11">
        <f t="shared" si="18"/>
        <v>0.45454537868499756</v>
      </c>
      <c r="U140" s="15">
        <f>SUMIFS('DT-GV'!$N$6:$N$213,'DT-GV'!$H$6:$H$213,E140,'DT-GV'!$R$6:$R$213,"&lt;&gt;0")</f>
        <v>735454545</v>
      </c>
      <c r="V140" s="48">
        <f>SUMIFS('DT-GV'!$N$6:$N$213,'DT-GV'!$H$6:$H$213,E140,'DT-GV'!$R$6:$R$213,0)</f>
        <v>0</v>
      </c>
      <c r="W140" s="15">
        <f>-SUMIFS('DT-GV'!$R$6:$R$213,'DT-GV'!$H$6:$H$213,E140)</f>
        <v>-714763636</v>
      </c>
      <c r="X140" s="11">
        <f>IFERROR(VLOOKUP($E140,'Dự thu chiết khấu'!$L$3:$AK$226,26,0)/1.1,0)</f>
        <v>0</v>
      </c>
      <c r="Y140" s="11">
        <f>IFERROR(VLOOKUP($E140,'Dự thu chiết khấu'!$L$3:$BE$226,46,0)/1.1,0)</f>
        <v>7445454.5454545449</v>
      </c>
      <c r="Z140" s="11">
        <f>-SUMIF('Lương năng suất'!$R$4:$R$208,E140,'Lương năng suất'!$AQ$4:$AQ$208)</f>
        <v>-8000000</v>
      </c>
      <c r="AA140" s="213" t="str">
        <f>IFERROR(IF(ISNUMBER(SEARCH("TẶNG",VLOOKUP(E140,'Dự thu chiết khấu'!$L$3:$AV$226,37,0))),"TẶNG",""),"")</f>
        <v/>
      </c>
      <c r="AB140" s="213" t="str">
        <f>IFERROR(IF(ISNUMBER(SEARCH("TẶNG",VLOOKUP(E140,'Dự thu chiết khấu'!$L$3:$AW$226,38,0))),"TẶNG",""),"")</f>
        <v/>
      </c>
      <c r="AC140" s="49">
        <f t="shared" si="19"/>
        <v>20136363.545454547</v>
      </c>
      <c r="AD140" s="11">
        <f>IFERROR(VLOOKUP(E140,'Dự thu chiết khấu'!$L$3:$AM$226,28,0),0)</f>
        <v>0</v>
      </c>
      <c r="AE140" s="11">
        <f>IFERROR(VLOOKUP(E140,'Dự thu chiết khấu'!$L$3:$AN$226,29,0),0)</f>
        <v>0</v>
      </c>
      <c r="AF140" s="11">
        <f>IFERROR(VLOOKUP(E140,'Dự thu chiết khấu'!$L$3:$AO$226,30,0),0)</f>
        <v>15000000</v>
      </c>
    </row>
    <row r="141" spans="1:32">
      <c r="A141" s="11">
        <v>135</v>
      </c>
      <c r="B141" t="str">
        <f>IFERROR(INDEX('Dự thu chiết khấu'!$E:$E,MATCH(E141,'Dự thu chiết khấu'!$L:$L,0)),"")</f>
        <v>Nguyễn Thị Phương Anh</v>
      </c>
      <c r="C141" s="51" t="str">
        <f>IFERROR(INDEX('Dự thu chiết khấu'!$F:$F,MATCH(E141,'Dự thu chiết khấu'!$L:$L,0)),"")</f>
        <v>Tạ Thị Hậu</v>
      </c>
      <c r="D141" s="4" t="str">
        <f>IFERROR(INDEX('Dự thu chiết khấu'!$H:$H,MATCH(E141,'Dự thu chiết khấu'!$L:$L,0)),"")</f>
        <v>MPV 7</v>
      </c>
      <c r="E141" s="4" t="str">
        <f>'Dự thu chiết khấu'!L138</f>
        <v>RLLVFPTT7TH733757</v>
      </c>
      <c r="F141" s="5" t="s">
        <v>138</v>
      </c>
      <c r="G141" s="5" t="str" cm="1">
        <f t="array" ref="G141">IFERROR(INDEX('DT-GV'!$X$6:$X$213,MATCH(1,('DT-GV'!$H$6:$H$213=E141)*('DT-GV'!$R$6:$R$213&lt;&gt;0),0)),IFERROR(VLOOKUP(E141,'DT-GV'!$H$6:$X$213,17,0),""))</f>
        <v>Q9KD</v>
      </c>
      <c r="H141" s="7" t="str">
        <f>VLOOKUP(E141,'Dự thu chiết khấu'!$L$3:$M$226,2,0)</f>
        <v>S11007</v>
      </c>
      <c r="I141">
        <v>1</v>
      </c>
      <c r="J141" s="11">
        <f>VLOOKUP(E141,'Dự thu chiết khấu'!$L$3:$P$226,5,0)</f>
        <v>819000000</v>
      </c>
      <c r="K141" s="12">
        <f t="shared" si="15"/>
        <v>49140000</v>
      </c>
      <c r="L141" s="12">
        <f t="shared" si="16"/>
        <v>0</v>
      </c>
      <c r="M141" s="13">
        <f>IFERROR(VLOOKUP(E141,'Dự thu chiết khấu'!$L$3:$R$226,7,0),0)</f>
        <v>0</v>
      </c>
      <c r="N141" s="14">
        <f>IFERROR(VLOOKUP(E141,'Dự thu chiết khấu'!$L$3:$S$226,8,0),0)</f>
        <v>0</v>
      </c>
      <c r="O141" s="11">
        <f>IF(IFERROR(VLOOKUP(E141,'Dự thu chiết khấu'!$L$3:$T$226,9,0),0)&gt;0,J141*$O$5,0)</f>
        <v>0</v>
      </c>
      <c r="P141" s="13">
        <f>IFERROR(VLOOKUP(E141,'Dự thu chiết khấu'!$L$3:$U$226,10,0),0)</f>
        <v>0</v>
      </c>
      <c r="Q141" s="12">
        <f>IFERROR(VLOOKUP(E141,'Dự thu chiết khấu'!$L$3:$V$226,11,0),0)</f>
        <v>0</v>
      </c>
      <c r="R141" s="12">
        <f>VLOOKUP($E141,'Dự thu chiết khấu'!$L$3:$W$226,12,0)</f>
        <v>12000000</v>
      </c>
      <c r="S141" s="12">
        <f t="shared" si="17"/>
        <v>688963636.36363626</v>
      </c>
      <c r="T141" s="11">
        <f t="shared" si="18"/>
        <v>0.36363625526428223</v>
      </c>
      <c r="U141" s="15">
        <f>SUMIFS('DT-GV'!$N$6:$N$213,'DT-GV'!$H$6:$H$213,E141,'DT-GV'!$R$6:$R$213,"&lt;&gt;0")</f>
        <v>688963636</v>
      </c>
      <c r="V141" s="48">
        <f>SUMIFS('DT-GV'!$N$6:$N$213,'DT-GV'!$H$6:$H$213,E141,'DT-GV'!$R$6:$R$213,0)</f>
        <v>0</v>
      </c>
      <c r="W141" s="15">
        <f>-SUMIFS('DT-GV'!$R$6:$R$213,'DT-GV'!$H$6:$H$213,E141)</f>
        <v>-714763636</v>
      </c>
      <c r="X141" s="11">
        <f>IFERROR(VLOOKUP($E141,'Dự thu chiết khấu'!$L$3:$AK$226,26,0)/1.1,0)</f>
        <v>42885818.18181818</v>
      </c>
      <c r="Y141" s="11">
        <f>IFERROR(VLOOKUP($E141,'Dự thu chiết khấu'!$L$3:$BE$226,46,0)/1.1,0)</f>
        <v>6998727.2727272725</v>
      </c>
      <c r="Z141" s="11">
        <f>-SUMIF('Lương năng suất'!$R$4:$R$208,E141,'Lương năng suất'!$AQ$4:$AQ$208)</f>
        <v>-4800000</v>
      </c>
      <c r="AA141" s="213" t="str">
        <f>IFERROR(IF(ISNUMBER(SEARCH("TẶNG",VLOOKUP(E141,'Dự thu chiết khấu'!$L$3:$AV$226,37,0))),"TẶNG",""),"")</f>
        <v/>
      </c>
      <c r="AB141" s="213" t="str">
        <f>IFERROR(IF(ISNUMBER(SEARCH("TẶNG",VLOOKUP(E141,'Dự thu chiết khấu'!$L$3:$AW$226,38,0))),"TẶNG",""),"")</f>
        <v/>
      </c>
      <c r="AC141" s="49">
        <f t="shared" si="19"/>
        <v>19284545.454545453</v>
      </c>
      <c r="AD141" s="11">
        <f>IFERROR(VLOOKUP(E141,'Dự thu chiết khấu'!$L$3:$AM$226,28,0),0)</f>
        <v>0</v>
      </c>
      <c r="AE141" s="11">
        <f>IFERROR(VLOOKUP(E141,'Dự thu chiết khấu'!$L$3:$AN$226,29,0),0)</f>
        <v>0</v>
      </c>
      <c r="AF141" s="11">
        <f>IFERROR(VLOOKUP(E141,'Dự thu chiết khấu'!$L$3:$AO$226,30,0),0)</f>
        <v>15000000</v>
      </c>
    </row>
    <row r="142" spans="1:32">
      <c r="A142">
        <v>136</v>
      </c>
      <c r="B142" t="str">
        <f>IFERROR(INDEX('Dự thu chiết khấu'!$E:$E,MATCH(E142,'Dự thu chiết khấu'!$L:$L,0)),"")</f>
        <v>Nguyễn Thị Phương Anh</v>
      </c>
      <c r="C142" s="51" t="str">
        <f>IFERROR(INDEX('Dự thu chiết khấu'!$F:$F,MATCH(E142,'Dự thu chiết khấu'!$L:$L,0)),"")</f>
        <v>Võ Huỳnh Nhựt Tiến</v>
      </c>
      <c r="D142" s="4" t="str">
        <f>IFERROR(INDEX('Dự thu chiết khấu'!$H:$H,MATCH(E142,'Dự thu chiết khấu'!$L:$L,0)),"")</f>
        <v>MPV 7</v>
      </c>
      <c r="E142" s="4" t="str">
        <f>'Dự thu chiết khấu'!L139</f>
        <v>RLLVFPTT8TH731998</v>
      </c>
      <c r="F142" s="5" t="s">
        <v>138</v>
      </c>
      <c r="G142" s="5" t="str" cm="1">
        <f t="array" ref="G142">IFERROR(INDEX('DT-GV'!$X$6:$X$213,MATCH(1,('DT-GV'!$H$6:$H$213=E142)*('DT-GV'!$R$6:$R$213&lt;&gt;0),0)),IFERROR(VLOOKUP(E142,'DT-GV'!$H$6:$X$213,17,0),""))</f>
        <v>Q9KD</v>
      </c>
      <c r="H142" s="7" t="str">
        <f>VLOOKUP(E142,'Dự thu chiết khấu'!$L$3:$M$226,2,0)</f>
        <v>S11007</v>
      </c>
      <c r="I142">
        <v>1</v>
      </c>
      <c r="J142" s="11">
        <f>VLOOKUP(E142,'Dự thu chiết khấu'!$L$3:$P$226,5,0)</f>
        <v>819000000</v>
      </c>
      <c r="K142" s="12">
        <f t="shared" si="15"/>
        <v>49140000</v>
      </c>
      <c r="L142" s="12">
        <f t="shared" si="16"/>
        <v>0</v>
      </c>
      <c r="M142" s="13">
        <f>IFERROR(VLOOKUP(E142,'Dự thu chiết khấu'!$L$3:$R$226,7,0),0)</f>
        <v>0</v>
      </c>
      <c r="N142" s="14">
        <f>IFERROR(VLOOKUP(E142,'Dự thu chiết khấu'!$L$3:$S$226,8,0),0)</f>
        <v>0</v>
      </c>
      <c r="O142" s="11">
        <f>IF(IFERROR(VLOOKUP(E142,'Dự thu chiết khấu'!$L$3:$T$226,9,0),0)&gt;0,J142*$O$5,0)</f>
        <v>0</v>
      </c>
      <c r="P142" s="13">
        <f>IFERROR(VLOOKUP(E142,'Dự thu chiết khấu'!$L$3:$U$226,10,0),0)</f>
        <v>0</v>
      </c>
      <c r="Q142" s="12">
        <f>IFERROR(VLOOKUP(E142,'Dự thu chiết khấu'!$L$3:$V$226,11,0),0)</f>
        <v>0</v>
      </c>
      <c r="R142" s="12">
        <f>VLOOKUP($E142,'Dự thu chiết khấu'!$L$3:$W$226,12,0)</f>
        <v>12000000</v>
      </c>
      <c r="S142" s="12">
        <f t="shared" si="17"/>
        <v>688963636.36363626</v>
      </c>
      <c r="T142" s="11">
        <f t="shared" si="18"/>
        <v>0.36363625526428223</v>
      </c>
      <c r="U142" s="15">
        <f>SUMIFS('DT-GV'!$N$6:$N$213,'DT-GV'!$H$6:$H$213,E142,'DT-GV'!$R$6:$R$213,"&lt;&gt;0")</f>
        <v>688963636</v>
      </c>
      <c r="V142" s="48">
        <f>SUMIFS('DT-GV'!$N$6:$N$213,'DT-GV'!$H$6:$H$213,E142,'DT-GV'!$R$6:$R$213,0)</f>
        <v>0</v>
      </c>
      <c r="W142" s="15">
        <f>-SUMIFS('DT-GV'!$R$6:$R$213,'DT-GV'!$H$6:$H$213,E142)</f>
        <v>-714763636</v>
      </c>
      <c r="X142" s="11">
        <f>IFERROR(VLOOKUP($E142,'Dự thu chiết khấu'!$L$3:$AK$226,26,0)/1.1,0)</f>
        <v>42885818.18181818</v>
      </c>
      <c r="Y142" s="11">
        <f>IFERROR(VLOOKUP($E142,'Dự thu chiết khấu'!$L$3:$BE$226,46,0)/1.1,0)</f>
        <v>6998727.2727272725</v>
      </c>
      <c r="Z142" s="11">
        <f>-SUMIF('Lương năng suất'!$R$4:$R$208,E142,'Lương năng suất'!$AQ$4:$AQ$208)</f>
        <v>-4800000</v>
      </c>
      <c r="AA142" s="213" t="str">
        <f>IFERROR(IF(ISNUMBER(SEARCH("TẶNG",VLOOKUP(E142,'Dự thu chiết khấu'!$L$3:$AV$226,37,0))),"TẶNG",""),"")</f>
        <v/>
      </c>
      <c r="AB142" s="213" t="str">
        <f>IFERROR(IF(ISNUMBER(SEARCH("TẶNG",VLOOKUP(E142,'Dự thu chiết khấu'!$L$3:$AW$226,38,0))),"TẶNG",""),"")</f>
        <v/>
      </c>
      <c r="AC142" s="49">
        <f t="shared" si="19"/>
        <v>19284545.454545453</v>
      </c>
      <c r="AD142" s="11">
        <f>IFERROR(VLOOKUP(E142,'Dự thu chiết khấu'!$L$3:$AM$226,28,0),0)</f>
        <v>0</v>
      </c>
      <c r="AE142" s="11">
        <f>IFERROR(VLOOKUP(E142,'Dự thu chiết khấu'!$L$3:$AN$226,29,0),0)</f>
        <v>0</v>
      </c>
      <c r="AF142" s="11">
        <f>IFERROR(VLOOKUP(E142,'Dự thu chiết khấu'!$L$3:$AO$226,30,0),0)</f>
        <v>15000000</v>
      </c>
    </row>
    <row r="143" spans="1:32">
      <c r="A143" s="11">
        <v>137</v>
      </c>
      <c r="B143" t="str">
        <f>IFERROR(INDEX('Dự thu chiết khấu'!$E:$E,MATCH(E143,'Dự thu chiết khấu'!$L:$L,0)),"")</f>
        <v>Ung Khắc Cảnh</v>
      </c>
      <c r="C143" s="51" t="str">
        <f>IFERROR(INDEX('Dự thu chiết khấu'!$F:$F,MATCH(E143,'Dự thu chiết khấu'!$L:$L,0)),"")</f>
        <v>Trần Đinh Diệu Châu</v>
      </c>
      <c r="D143" s="4" t="str">
        <f>IFERROR(INDEX('Dự thu chiết khấu'!$H:$H,MATCH(E143,'Dự thu chiết khấu'!$L:$L,0)),"")</f>
        <v>VF 3</v>
      </c>
      <c r="E143" s="4" t="str">
        <f>'Dự thu chiết khấu'!L140</f>
        <v>RLNVBL9K9TT715543</v>
      </c>
      <c r="F143" s="5" t="s">
        <v>138</v>
      </c>
      <c r="G143" s="5" t="str" cm="1">
        <f t="array" ref="G143">IFERROR(INDEX('DT-GV'!$X$6:$X$213,MATCH(1,('DT-GV'!$H$6:$H$213=E143)*('DT-GV'!$R$6:$R$213&lt;&gt;0),0)),IFERROR(VLOOKUP(E143,'DT-GV'!$H$6:$X$213,17,0),""))</f>
        <v>Q9KD</v>
      </c>
      <c r="H143" s="6" t="str">
        <f>VLOOKUP(E143,'Dự thu chiết khấu'!$L$3:$M$226,2,0)</f>
        <v>S11007</v>
      </c>
      <c r="I143">
        <v>1</v>
      </c>
      <c r="J143" s="11">
        <f>VLOOKUP(E143,'Dự thu chiết khấu'!$L$3:$P$226,5,0)</f>
        <v>323000000</v>
      </c>
      <c r="K143" s="12">
        <f t="shared" si="15"/>
        <v>19380000</v>
      </c>
      <c r="L143" s="12">
        <f t="shared" si="16"/>
        <v>0</v>
      </c>
      <c r="M143" s="13">
        <f>IFERROR(VLOOKUP(E143,'Dự thu chiết khấu'!$L$3:$R$226,7,0),0)</f>
        <v>0</v>
      </c>
      <c r="N143" s="14">
        <f>IFERROR(VLOOKUP(E143,'Dự thu chiết khấu'!$L$3:$S$226,8,0),0)</f>
        <v>0</v>
      </c>
      <c r="O143" s="11">
        <f>IF(IFERROR(VLOOKUP(E143,'Dự thu chiết khấu'!$L$3:$T$226,9,0),0)&gt;0,J143*$O$5,0)</f>
        <v>0</v>
      </c>
      <c r="P143" s="13">
        <f>IFERROR(VLOOKUP(E143,'Dự thu chiết khấu'!$L$3:$U$226,10,0),0)</f>
        <v>0</v>
      </c>
      <c r="Q143" s="12">
        <f>IFERROR(VLOOKUP(E143,'Dự thu chiết khấu'!$L$3:$V$226,11,0),0)</f>
        <v>0</v>
      </c>
      <c r="R143" s="12">
        <f>VLOOKUP($E143,'Dự thu chiết khấu'!$L$3:$W$226,12,0)</f>
        <v>0</v>
      </c>
      <c r="S143" s="12">
        <f t="shared" si="17"/>
        <v>276018181.81818181</v>
      </c>
      <c r="T143" s="11">
        <f t="shared" si="18"/>
        <v>-0.18181818723678589</v>
      </c>
      <c r="U143" s="15">
        <f>SUMIFS('DT-GV'!$N$6:$N$213,'DT-GV'!$H$6:$H$213,E143,'DT-GV'!$R$6:$R$213,"&lt;&gt;0")</f>
        <v>276018182</v>
      </c>
      <c r="V143" s="48">
        <f>SUMIFS('DT-GV'!$N$6:$N$213,'DT-GV'!$H$6:$H$213,E143,'DT-GV'!$R$6:$R$213,0)</f>
        <v>0</v>
      </c>
      <c r="W143" s="15">
        <f>-SUMIFS('DT-GV'!$R$6:$R$213,'DT-GV'!$H$6:$H$213,E143)</f>
        <v>-281890909</v>
      </c>
      <c r="X143" s="11">
        <f>IFERROR(VLOOKUP($E143,'Dự thu chiết khấu'!$L$3:$AK$226,26,0)/1.1,0)</f>
        <v>16913454.545454543</v>
      </c>
      <c r="Y143" s="11">
        <f>IFERROR(VLOOKUP($E143,'Dự thu chiết khấu'!$L$3:$BE$226,46,0)/1.1,0)</f>
        <v>2760181.8181818179</v>
      </c>
      <c r="Z143" s="11">
        <f>-SUMIF('Lương năng suất'!$R$4:$R$208,E143,'Lương năng suất'!$AQ$4:$AQ$208)</f>
        <v>-6800000</v>
      </c>
      <c r="AA143" s="213" t="str">
        <f>IFERROR(IF(ISNUMBER(SEARCH("TẶNG",VLOOKUP(E143,'Dự thu chiết khấu'!$L$3:$AV$226,37,0))),"TẶNG",""),"")</f>
        <v/>
      </c>
      <c r="AB143" s="213" t="str">
        <f>IFERROR(IF(ISNUMBER(SEARCH("TẶNG",VLOOKUP(E143,'Dự thu chiết khấu'!$L$3:$AW$226,38,0))),"TẶNG",""),"")</f>
        <v/>
      </c>
      <c r="AC143" s="49">
        <f t="shared" si="19"/>
        <v>7000909.3636363614</v>
      </c>
      <c r="AD143" s="11">
        <f>IFERROR(VLOOKUP(E143,'Dự thu chiết khấu'!$L$3:$AM$226,28,0),0)</f>
        <v>0</v>
      </c>
      <c r="AE143" s="11">
        <f>IFERROR(VLOOKUP(E143,'Dự thu chiết khấu'!$L$3:$AN$226,29,0),0)</f>
        <v>0</v>
      </c>
      <c r="AF143" s="11">
        <f>IFERROR(VLOOKUP(E143,'Dự thu chiết khấu'!$L$3:$AO$226,30,0),0)</f>
        <v>0</v>
      </c>
    </row>
    <row r="144" spans="1:32">
      <c r="A144">
        <v>138</v>
      </c>
      <c r="B144" t="str">
        <f>IFERROR(INDEX('Dự thu chiết khấu'!$E:$E,MATCH(E144,'Dự thu chiết khấu'!$L:$L,0)),"")</f>
        <v>Phạm Nguyễn Viết Khánh</v>
      </c>
      <c r="C144" s="51" t="str">
        <f>IFERROR(INDEX('Dự thu chiết khấu'!$F:$F,MATCH(E144,'Dự thu chiết khấu'!$L:$L,0)),"")</f>
        <v>Nguyễn Đắc Tuấn</v>
      </c>
      <c r="D144" s="4" t="str">
        <f>IFERROR(INDEX('Dự thu chiết khấu'!$H:$H,MATCH(E144,'Dự thu chiết khấu'!$L:$L,0)),"")</f>
        <v>VF 7</v>
      </c>
      <c r="E144" s="4" t="str">
        <f>'Dự thu chiết khấu'!L141</f>
        <v>RLLV3F5D7SH878174</v>
      </c>
      <c r="F144" s="5" t="s">
        <v>138</v>
      </c>
      <c r="G144" s="5" t="str" cm="1">
        <f t="array" ref="G144">IFERROR(INDEX('DT-GV'!$X$6:$X$213,MATCH(1,('DT-GV'!$H$6:$H$213=E144)*('DT-GV'!$R$6:$R$213&lt;&gt;0),0)),IFERROR(VLOOKUP(E144,'DT-GV'!$H$6:$X$213,17,0),""))</f>
        <v>Q9KD</v>
      </c>
      <c r="H144" s="6" t="str">
        <f>VLOOKUP(E144,'Dự thu chiết khấu'!$L$3:$M$226,2,0)</f>
        <v>S11007</v>
      </c>
      <c r="I144">
        <v>1</v>
      </c>
      <c r="J144" s="11">
        <f>VLOOKUP(E144,'Dự thu chiết khấu'!$L$3:$P$226,5,0)</f>
        <v>799000000</v>
      </c>
      <c r="K144" s="12">
        <f t="shared" si="15"/>
        <v>47940000</v>
      </c>
      <c r="L144" s="12">
        <f t="shared" si="16"/>
        <v>0</v>
      </c>
      <c r="M144" s="13">
        <f>IFERROR(VLOOKUP(E144,'Dự thu chiết khấu'!$L$3:$R$226,7,0),0)</f>
        <v>0</v>
      </c>
      <c r="N144" s="14">
        <f>IFERROR(VLOOKUP(E144,'Dự thu chiết khấu'!$L$3:$S$226,8,0),0)</f>
        <v>0</v>
      </c>
      <c r="O144" s="11">
        <f>IF(IFERROR(VLOOKUP(E144,'Dự thu chiết khấu'!$L$3:$T$226,9,0),0)&gt;0,J144*$O$5,0)</f>
        <v>23970000</v>
      </c>
      <c r="P144" s="13">
        <f>IFERROR(VLOOKUP(E144,'Dự thu chiết khấu'!$L$3:$U$226,10,0),0)</f>
        <v>0.05</v>
      </c>
      <c r="Q144" s="12">
        <f>IFERROR(VLOOKUP(E144,'Dự thu chiết khấu'!$L$3:$V$226,11,0),0)</f>
        <v>20000000</v>
      </c>
      <c r="R144" s="12">
        <f>VLOOKUP($E144,'Dự thu chiết khấu'!$L$3:$W$226,12,0)</f>
        <v>0</v>
      </c>
      <c r="S144" s="12">
        <f t="shared" si="17"/>
        <v>606490909.090909</v>
      </c>
      <c r="T144" s="11">
        <f t="shared" si="18"/>
        <v>9.0909004211425781E-2</v>
      </c>
      <c r="U144" s="15">
        <f>SUMIFS('DT-GV'!$N$6:$N$213,'DT-GV'!$H$6:$H$213,E144,'DT-GV'!$R$6:$R$213,"&lt;&gt;0")</f>
        <v>606490909</v>
      </c>
      <c r="V144" s="48">
        <f>SUMIFS('DT-GV'!$N$6:$N$213,'DT-GV'!$H$6:$H$213,E144,'DT-GV'!$R$6:$R$213,0)</f>
        <v>0</v>
      </c>
      <c r="W144" s="15">
        <f>-SUMIFS('DT-GV'!$R$6:$R$213,'DT-GV'!$H$6:$H$213,E144)</f>
        <v>-693677273</v>
      </c>
      <c r="X144" s="11">
        <f>IFERROR(VLOOKUP($E144,'Dự thu chiết khấu'!$L$3:$AK$226,26,0)/1.1,0)</f>
        <v>96319363.636363626</v>
      </c>
      <c r="Y144" s="11">
        <f>IFERROR(VLOOKUP($E144,'Dự thu chiết khấu'!$L$3:$BE$226,46,0)/1.1,0)</f>
        <v>6064909.0909090908</v>
      </c>
      <c r="Z144" s="11">
        <f>-SUMIF('Lương năng suất'!$R$4:$R$208,E144,'Lương năng suất'!$AQ$4:$AQ$208)</f>
        <v>-11200000</v>
      </c>
      <c r="AA144" s="213" t="str">
        <f>IFERROR(IF(ISNUMBER(SEARCH("TẶNG",VLOOKUP(E144,'Dự thu chiết khấu'!$L$3:$AV$226,37,0))),"TẶNG",""),"")</f>
        <v/>
      </c>
      <c r="AB144" s="213" t="str">
        <f>IFERROR(IF(ISNUMBER(SEARCH("TẶNG",VLOOKUP(E144,'Dự thu chiết khấu'!$L$3:$AW$226,38,0))),"TẶNG",""),"")</f>
        <v/>
      </c>
      <c r="AC144" s="49">
        <f t="shared" si="19"/>
        <v>3997908.7272727154</v>
      </c>
      <c r="AD144" s="11">
        <f>IFERROR(VLOOKUP(E144,'Dự thu chiết khấu'!$L$3:$AM$226,28,0),0)</f>
        <v>0</v>
      </c>
      <c r="AE144" s="11">
        <f>IFERROR(VLOOKUP(E144,'Dự thu chiết khấu'!$L$3:$AN$226,29,0),0)</f>
        <v>0</v>
      </c>
      <c r="AF144" s="11">
        <f>IFERROR(VLOOKUP(E144,'Dự thu chiết khấu'!$L$3:$AO$226,30,0),0)</f>
        <v>0</v>
      </c>
    </row>
    <row r="145" spans="1:32">
      <c r="A145" s="11">
        <v>139</v>
      </c>
      <c r="B145" t="str">
        <f>IFERROR(INDEX('Dự thu chiết khấu'!$E:$E,MATCH(E145,'Dự thu chiết khấu'!$L:$L,0)),"")</f>
        <v>Nguyễn Trần Quốc Duy</v>
      </c>
      <c r="C145" s="51" t="str">
        <f>IFERROR(INDEX('Dự thu chiết khấu'!$F:$F,MATCH(E145,'Dự thu chiết khấu'!$L:$L,0)),"")</f>
        <v>Nguyễn Thanh Bình</v>
      </c>
      <c r="D145" s="4" t="str">
        <f>IFERROR(INDEX('Dự thu chiết khấu'!$H:$H,MATCH(E145,'Dự thu chiết khấu'!$L:$L,0)),"")</f>
        <v>VF 3</v>
      </c>
      <c r="E145" s="4" t="str">
        <f>'Dự thu chiết khấu'!L142</f>
        <v>RLNVBL9K9TT713517</v>
      </c>
      <c r="F145" s="5" t="s">
        <v>138</v>
      </c>
      <c r="G145" s="5" t="str" cm="1">
        <f t="array" ref="G145">IFERROR(INDEX('DT-GV'!$X$6:$X$213,MATCH(1,('DT-GV'!$H$6:$H$213=E145)*('DT-GV'!$R$6:$R$213&lt;&gt;0),0)),IFERROR(VLOOKUP(E145,'DT-GV'!$H$6:$X$213,17,0),""))</f>
        <v>Q9KD</v>
      </c>
      <c r="H145" s="7" t="str">
        <f>VLOOKUP(E145,'Dự thu chiết khấu'!$L$3:$M$226,2,0)</f>
        <v>S11007</v>
      </c>
      <c r="I145">
        <v>1</v>
      </c>
      <c r="J145" s="11">
        <f>VLOOKUP(E145,'Dự thu chiết khấu'!$L$3:$P$226,5,0)</f>
        <v>315000000</v>
      </c>
      <c r="K145" s="12">
        <f t="shared" si="15"/>
        <v>18900000</v>
      </c>
      <c r="L145" s="12">
        <f t="shared" si="16"/>
        <v>0</v>
      </c>
      <c r="M145" s="13">
        <f>IFERROR(VLOOKUP(E145,'Dự thu chiết khấu'!$L$3:$R$226,7,0),0)</f>
        <v>0</v>
      </c>
      <c r="N145" s="14">
        <f>IFERROR(VLOOKUP(E145,'Dự thu chiết khấu'!$L$3:$S$226,8,0),0)</f>
        <v>0</v>
      </c>
      <c r="O145" s="11">
        <f>IF(IFERROR(VLOOKUP(E145,'Dự thu chiết khấu'!$L$3:$T$226,9,0),0)&gt;0,J145*$O$5,0)</f>
        <v>0</v>
      </c>
      <c r="P145" s="13">
        <f>IFERROR(VLOOKUP(E145,'Dự thu chiết khấu'!$L$3:$U$226,10,0),0)</f>
        <v>0.05</v>
      </c>
      <c r="Q145" s="12">
        <f>IFERROR(VLOOKUP(E145,'Dự thu chiết khấu'!$L$3:$V$226,11,0),0)</f>
        <v>0</v>
      </c>
      <c r="R145" s="12">
        <f>VLOOKUP($E145,'Dự thu chiết khấu'!$L$3:$W$226,12,0)</f>
        <v>0</v>
      </c>
      <c r="S145" s="12">
        <f t="shared" si="17"/>
        <v>254863636.36363634</v>
      </c>
      <c r="T145" s="11">
        <f t="shared" si="18"/>
        <v>0.36363634467124939</v>
      </c>
      <c r="U145" s="15">
        <f>SUMIFS('DT-GV'!$N$6:$N$213,'DT-GV'!$H$6:$H$213,E145,'DT-GV'!$R$6:$R$213,"&lt;&gt;0")</f>
        <v>254863636</v>
      </c>
      <c r="V145" s="48">
        <f>SUMIFS('DT-GV'!$N$6:$N$213,'DT-GV'!$H$6:$H$213,E145,'DT-GV'!$R$6:$R$213,0)</f>
        <v>0</v>
      </c>
      <c r="W145" s="15">
        <f>-SUMIFS('DT-GV'!$R$6:$R$213,'DT-GV'!$H$6:$H$213,E145)</f>
        <v>-274909091</v>
      </c>
      <c r="X145" s="11">
        <f>IFERROR(VLOOKUP($E145,'Dự thu chiết khấu'!$L$3:$AK$226,26,0)/1.1,0)</f>
        <v>23080909.09090909</v>
      </c>
      <c r="Y145" s="11">
        <f>IFERROR(VLOOKUP($E145,'Dự thu chiết khấu'!$L$3:$BE$226,46,0)/1.1,0)</f>
        <v>2548636.3636363633</v>
      </c>
      <c r="Z145" s="11">
        <f>-SUMIF('Lương năng suất'!$R$4:$R$208,E145,'Lương năng suất'!$AQ$4:$AQ$208)</f>
        <v>-3400000</v>
      </c>
      <c r="AA145" s="213" t="str">
        <f>IFERROR(IF(ISNUMBER(SEARCH("TẶNG",VLOOKUP(E145,'Dự thu chiết khấu'!$L$3:$AV$226,37,0))),"TẶNG",""),"")</f>
        <v/>
      </c>
      <c r="AB145" s="213" t="str">
        <f>IFERROR(IF(ISNUMBER(SEARCH("TẶNG",VLOOKUP(E145,'Dự thu chiết khấu'!$L$3:$AW$226,38,0))),"TẶNG",""),"")</f>
        <v/>
      </c>
      <c r="AC145" s="49">
        <f t="shared" si="19"/>
        <v>2184090.4545454532</v>
      </c>
      <c r="AD145" s="11">
        <f>IFERROR(VLOOKUP(E145,'Dự thu chiết khấu'!$L$3:$AM$226,28,0),0)</f>
        <v>0</v>
      </c>
      <c r="AE145" s="11">
        <f>IFERROR(VLOOKUP(E145,'Dự thu chiết khấu'!$L$3:$AN$226,29,0),0)</f>
        <v>0</v>
      </c>
      <c r="AF145" s="11">
        <f>IFERROR(VLOOKUP(E145,'Dự thu chiết khấu'!$L$3:$AO$226,30,0),0)</f>
        <v>0</v>
      </c>
    </row>
    <row r="146" spans="1:32">
      <c r="A146">
        <v>140</v>
      </c>
      <c r="B146" t="str">
        <f>IFERROR(INDEX('Dự thu chiết khấu'!$E:$E,MATCH(E146,'Dự thu chiết khấu'!$L:$L,0)),"")</f>
        <v>Nguyễn Trần Quốc Duy</v>
      </c>
      <c r="C146" s="51" t="str">
        <f>IFERROR(INDEX('Dự thu chiết khấu'!$F:$F,MATCH(E146,'Dự thu chiết khấu'!$L:$L,0)),"")</f>
        <v>Huỳnh Sĩ Nguyên</v>
      </c>
      <c r="D146" s="4" t="str">
        <f>IFERROR(INDEX('Dự thu chiết khấu'!$H:$H,MATCH(E146,'Dự thu chiết khấu'!$L:$L,0)),"")</f>
        <v>VF 3</v>
      </c>
      <c r="E146" s="4" t="str">
        <f>'Dự thu chiết khấu'!L143</f>
        <v>RLNVBL9K5TT712266</v>
      </c>
      <c r="F146" s="5" t="s">
        <v>138</v>
      </c>
      <c r="G146" s="5" t="str" cm="1">
        <f t="array" ref="G146">IFERROR(INDEX('DT-GV'!$X$6:$X$213,MATCH(1,('DT-GV'!$H$6:$H$213=E146)*('DT-GV'!$R$6:$R$213&lt;&gt;0),0)),IFERROR(VLOOKUP(E146,'DT-GV'!$H$6:$X$213,17,0),""))</f>
        <v>Q9KD</v>
      </c>
      <c r="H146" s="6" t="str">
        <f>VLOOKUP(E146,'Dự thu chiết khấu'!$L$3:$M$226,2,0)</f>
        <v>S11008</v>
      </c>
      <c r="I146">
        <v>1</v>
      </c>
      <c r="J146" s="11">
        <f>VLOOKUP(E146,'Dự thu chiết khấu'!$L$3:$P$226,5,0)</f>
        <v>315000000</v>
      </c>
      <c r="K146" s="12">
        <f t="shared" si="15"/>
        <v>18900000</v>
      </c>
      <c r="L146" s="12">
        <f t="shared" si="16"/>
        <v>0</v>
      </c>
      <c r="M146" s="13">
        <f>IFERROR(VLOOKUP(E146,'Dự thu chiết khấu'!$L$3:$R$226,7,0),0)</f>
        <v>0</v>
      </c>
      <c r="N146" s="14">
        <f>IFERROR(VLOOKUP(E146,'Dự thu chiết khấu'!$L$3:$S$226,8,0),0)</f>
        <v>0</v>
      </c>
      <c r="O146" s="11">
        <f>IF(IFERROR(VLOOKUP(E146,'Dự thu chiết khấu'!$L$3:$T$226,9,0),0)&gt;0,J146*$O$5,0)</f>
        <v>9450000</v>
      </c>
      <c r="P146" s="13">
        <f>IFERROR(VLOOKUP(E146,'Dự thu chiết khấu'!$L$3:$U$226,10,0),0)</f>
        <v>0.05</v>
      </c>
      <c r="Q146" s="12">
        <f>IFERROR(VLOOKUP(E146,'Dự thu chiết khấu'!$L$3:$V$226,11,0),0)</f>
        <v>0</v>
      </c>
      <c r="R146" s="12">
        <f>VLOOKUP($E146,'Dự thu chiết khấu'!$L$3:$W$226,12,0)</f>
        <v>0</v>
      </c>
      <c r="S146" s="12">
        <f t="shared" si="17"/>
        <v>246272727.27272725</v>
      </c>
      <c r="T146" s="11">
        <f t="shared" si="18"/>
        <v>0.27272725105285645</v>
      </c>
      <c r="U146" s="15">
        <f>SUMIFS('DT-GV'!$N$6:$N$213,'DT-GV'!$H$6:$H$213,E146,'DT-GV'!$R$6:$R$213,"&lt;&gt;0")</f>
        <v>246272727</v>
      </c>
      <c r="V146" s="48">
        <f>SUMIFS('DT-GV'!$N$6:$N$213,'DT-GV'!$H$6:$H$213,E146,'DT-GV'!$R$6:$R$213,0)</f>
        <v>0</v>
      </c>
      <c r="W146" s="15">
        <f>-SUMIFS('DT-GV'!$R$6:$R$213,'DT-GV'!$H$6:$H$213,E146)</f>
        <v>-274909091</v>
      </c>
      <c r="X146" s="11">
        <f>IFERROR(VLOOKUP($E146,'Dự thu chiết khấu'!$L$3:$AK$226,26,0)/1.1,0)</f>
        <v>31328181.818181816</v>
      </c>
      <c r="Y146" s="11">
        <f>IFERROR(VLOOKUP($E146,'Dự thu chiết khấu'!$L$3:$BE$226,46,0)/1.1,0)</f>
        <v>0</v>
      </c>
      <c r="Z146" s="11">
        <f>-SUMIF('Lương năng suất'!$R$4:$R$208,E146,'Lương năng suất'!$AQ$4:$AQ$208)</f>
        <v>-3400000</v>
      </c>
      <c r="AA146" s="213" t="str">
        <f>IFERROR(IF(ISNUMBER(SEARCH("TẶNG",VLOOKUP(E146,'Dự thu chiết khấu'!$L$3:$AV$226,37,0))),"TẶNG",""),"")</f>
        <v/>
      </c>
      <c r="AB146" s="213" t="str">
        <f>IFERROR(IF(ISNUMBER(SEARCH("TẶNG",VLOOKUP(E146,'Dự thu chiết khấu'!$L$3:$AW$226,38,0))),"TẶNG",""),"")</f>
        <v/>
      </c>
      <c r="AC146" s="49">
        <f t="shared" si="19"/>
        <v>-708182.18181818351</v>
      </c>
      <c r="AD146" s="11">
        <f>IFERROR(VLOOKUP(E146,'Dự thu chiết khấu'!$L$3:$AM$226,28,0),0)</f>
        <v>0</v>
      </c>
      <c r="AE146" s="11">
        <f>IFERROR(VLOOKUP(E146,'Dự thu chiết khấu'!$L$3:$AN$226,29,0),0)</f>
        <v>0</v>
      </c>
      <c r="AF146" s="11">
        <f>IFERROR(VLOOKUP(E146,'Dự thu chiết khấu'!$L$3:$AO$226,30,0),0)</f>
        <v>0</v>
      </c>
    </row>
    <row r="147" spans="1:32">
      <c r="A147" s="11">
        <v>141</v>
      </c>
      <c r="B147" t="str">
        <f>IFERROR(INDEX('Dự thu chiết khấu'!$E:$E,MATCH(E147,'Dự thu chiết khấu'!$L:$L,0)),"")</f>
        <v>Nguyễn Bá Thản</v>
      </c>
      <c r="C147" s="51" t="str">
        <f>IFERROR(INDEX('Dự thu chiết khấu'!$F:$F,MATCH(E147,'Dự thu chiết khấu'!$L:$L,0)),"")</f>
        <v>Phạm Gia Bảo</v>
      </c>
      <c r="D147" s="4" t="str">
        <f>IFERROR(INDEX('Dự thu chiết khấu'!$H:$H,MATCH(E147,'Dự thu chiết khấu'!$L:$L,0)),"")</f>
        <v>VF 3</v>
      </c>
      <c r="E147" s="4" t="str">
        <f>'Dự thu chiết khấu'!L144</f>
        <v>RLNVBL9K9TT713419</v>
      </c>
      <c r="F147" s="5" t="s">
        <v>138</v>
      </c>
      <c r="G147" s="5" t="str" cm="1">
        <f t="array" ref="G147">IFERROR(INDEX('DT-GV'!$X$6:$X$213,MATCH(1,('DT-GV'!$H$6:$H$213=E147)*('DT-GV'!$R$6:$R$213&lt;&gt;0),0)),IFERROR(VLOOKUP(E147,'DT-GV'!$H$6:$X$213,17,0),""))</f>
        <v>Q9KD</v>
      </c>
      <c r="H147" s="6" t="str">
        <f>VLOOKUP(E147,'Dự thu chiết khấu'!$L$3:$M$226,2,0)</f>
        <v>S11007</v>
      </c>
      <c r="I147">
        <v>1</v>
      </c>
      <c r="J147" s="11">
        <f>VLOOKUP(E147,'Dự thu chiết khấu'!$L$3:$P$226,5,0)</f>
        <v>323000000</v>
      </c>
      <c r="K147" s="12">
        <f t="shared" si="15"/>
        <v>19380000</v>
      </c>
      <c r="L147" s="12">
        <f t="shared" si="16"/>
        <v>0</v>
      </c>
      <c r="M147" s="13">
        <f>IFERROR(VLOOKUP(E147,'Dự thu chiết khấu'!$L$3:$R$226,7,0),0)</f>
        <v>0</v>
      </c>
      <c r="N147" s="14">
        <f>IFERROR(VLOOKUP(E147,'Dự thu chiết khấu'!$L$3:$S$226,8,0),0)</f>
        <v>0</v>
      </c>
      <c r="O147" s="11">
        <f>IF(IFERROR(VLOOKUP(E147,'Dự thu chiết khấu'!$L$3:$T$226,9,0),0)&gt;0,J147*$O$5,0)</f>
        <v>0</v>
      </c>
      <c r="P147" s="13">
        <f>IFERROR(VLOOKUP(E147,'Dự thu chiết khấu'!$L$3:$U$226,10,0),0)</f>
        <v>0</v>
      </c>
      <c r="Q147" s="12">
        <f>IFERROR(VLOOKUP(E147,'Dự thu chiết khấu'!$L$3:$V$226,11,0),0)</f>
        <v>0</v>
      </c>
      <c r="R147" s="12">
        <f>VLOOKUP($E147,'Dự thu chiết khấu'!$L$3:$W$226,12,0)</f>
        <v>5000000</v>
      </c>
      <c r="S147" s="12">
        <f t="shared" si="17"/>
        <v>271472727.27272725</v>
      </c>
      <c r="T147" s="11">
        <f t="shared" si="18"/>
        <v>0.27272725105285645</v>
      </c>
      <c r="U147" s="15">
        <f>SUMIFS('DT-GV'!$N$6:$N$213,'DT-GV'!$H$6:$H$213,E147,'DT-GV'!$R$6:$R$213,"&lt;&gt;0")</f>
        <v>271472727</v>
      </c>
      <c r="V147" s="48">
        <f>SUMIFS('DT-GV'!$N$6:$N$213,'DT-GV'!$H$6:$H$213,E147,'DT-GV'!$R$6:$R$213,0)</f>
        <v>0</v>
      </c>
      <c r="W147" s="15">
        <f>-SUMIFS('DT-GV'!$R$6:$R$213,'DT-GV'!$H$6:$H$213,E147)</f>
        <v>-281890909</v>
      </c>
      <c r="X147" s="11">
        <f>IFERROR(VLOOKUP($E147,'Dự thu chiết khấu'!$L$3:$AK$226,26,0)/1.1,0)</f>
        <v>16913454.545454543</v>
      </c>
      <c r="Y147" s="11">
        <f>IFERROR(VLOOKUP($E147,'Dự thu chiết khấu'!$L$3:$BE$226,46,0)/1.1,0)</f>
        <v>2760181.8181818179</v>
      </c>
      <c r="Z147" s="11">
        <f>-SUMIF('Lương năng suất'!$R$4:$R$208,E147,'Lương năng suất'!$AQ$4:$AQ$208)</f>
        <v>-2800000</v>
      </c>
      <c r="AA147" s="213" t="str">
        <f>IFERROR(IF(ISNUMBER(SEARCH("TẶNG",VLOOKUP(E147,'Dự thu chiết khấu'!$L$3:$AV$226,37,0))),"TẶNG",""),"")</f>
        <v/>
      </c>
      <c r="AB147" s="213" t="str">
        <f>IFERROR(IF(ISNUMBER(SEARCH("TẶNG",VLOOKUP(E147,'Dự thu chiết khấu'!$L$3:$AW$226,38,0))),"TẶNG",""),"")</f>
        <v/>
      </c>
      <c r="AC147" s="49">
        <f t="shared" si="19"/>
        <v>6455454.3636363614</v>
      </c>
      <c r="AD147" s="11">
        <f>IFERROR(VLOOKUP(E147,'Dự thu chiết khấu'!$L$3:$AM$226,28,0),0)</f>
        <v>0</v>
      </c>
      <c r="AE147" s="11">
        <f>IFERROR(VLOOKUP(E147,'Dự thu chiết khấu'!$L$3:$AN$226,29,0),0)</f>
        <v>0</v>
      </c>
      <c r="AF147" s="11">
        <f>IFERROR(VLOOKUP(E147,'Dự thu chiết khấu'!$L$3:$AO$226,30,0),0)</f>
        <v>0</v>
      </c>
    </row>
    <row r="148" spans="1:32" ht="23">
      <c r="A148">
        <v>142</v>
      </c>
      <c r="B148" t="str">
        <f>IFERROR(INDEX('Dự thu chiết khấu'!$E:$E,MATCH(E148,'Dự thu chiết khấu'!$L:$L,0)),"")</f>
        <v>Vũ Đức Danh</v>
      </c>
      <c r="C148" s="51" t="str">
        <f>IFERROR(INDEX('Dự thu chiết khấu'!$F:$F,MATCH(E148,'Dự thu chiết khấu'!$L:$L,0)),"")</f>
        <v>Công ty TNHH Thương Mại Xây Dựng Cửa Mạnh Hải</v>
      </c>
      <c r="D148" s="4" t="str">
        <f>IFERROR(INDEX('Dự thu chiết khấu'!$H:$H,MATCH(E148,'Dự thu chiết khấu'!$L:$L,0)),"")</f>
        <v>LIMO GREEN</v>
      </c>
      <c r="E148" s="4" t="str">
        <f>'Dự thu chiết khấu'!L145</f>
        <v>RLLVFPNT8TH747213</v>
      </c>
      <c r="F148" s="5" t="s">
        <v>138</v>
      </c>
      <c r="G148" s="5" t="str" cm="1">
        <f t="array" ref="G148">IFERROR(INDEX('DT-GV'!$X$6:$X$213,MATCH(1,('DT-GV'!$H$6:$H$213=E148)*('DT-GV'!$R$6:$R$213&lt;&gt;0),0)),IFERROR(VLOOKUP(E148,'DT-GV'!$H$6:$X$213,17,0),""))</f>
        <v>Q9KD</v>
      </c>
      <c r="H148" s="8" t="str">
        <f>VLOOKUP(E148,'Dự thu chiết khấu'!$L$3:$M$226,2,0)</f>
        <v>S11007</v>
      </c>
      <c r="I148">
        <v>1</v>
      </c>
      <c r="J148" s="11">
        <f>VLOOKUP(E148,'Dự thu chiết khấu'!$L$3:$P$226,5,0)</f>
        <v>749000000</v>
      </c>
      <c r="K148" s="12">
        <f t="shared" si="15"/>
        <v>44940000</v>
      </c>
      <c r="L148" s="12">
        <f t="shared" si="16"/>
        <v>0</v>
      </c>
      <c r="M148" s="13">
        <f>IFERROR(VLOOKUP(E148,'Dự thu chiết khấu'!$L$3:$R$226,7,0),0)</f>
        <v>0</v>
      </c>
      <c r="N148" s="14">
        <f>IFERROR(VLOOKUP(E148,'Dự thu chiết khấu'!$L$3:$S$226,8,0),0)</f>
        <v>0</v>
      </c>
      <c r="O148" s="11">
        <f>IF(IFERROR(VLOOKUP(E148,'Dự thu chiết khấu'!$L$3:$T$226,9,0),0)&gt;0,J148*$O$5,0)</f>
        <v>0</v>
      </c>
      <c r="P148" s="13">
        <f>IFERROR(VLOOKUP(E148,'Dự thu chiết khấu'!$L$3:$U$226,10,0),0)</f>
        <v>0</v>
      </c>
      <c r="Q148" s="12">
        <f>IFERROR(VLOOKUP(E148,'Dự thu chiết khấu'!$L$3:$V$226,11,0),0)</f>
        <v>0</v>
      </c>
      <c r="R148" s="12">
        <f>VLOOKUP($E148,'Dự thu chiết khấu'!$L$3:$W$226,12,0)</f>
        <v>12000000</v>
      </c>
      <c r="S148" s="12">
        <f t="shared" si="17"/>
        <v>629145454.5454545</v>
      </c>
      <c r="T148" s="11">
        <f t="shared" si="18"/>
        <v>-0.45454549789428711</v>
      </c>
      <c r="U148" s="15">
        <f>SUMIFS('DT-GV'!$N$6:$N$213,'DT-GV'!$H$6:$H$213,E148,'DT-GV'!$R$6:$R$213,"&lt;&gt;0")</f>
        <v>629145455</v>
      </c>
      <c r="V148" s="48">
        <f>SUMIFS('DT-GV'!$N$6:$N$213,'DT-GV'!$H$6:$H$213,E148,'DT-GV'!$R$6:$R$213,0)</f>
        <v>0</v>
      </c>
      <c r="W148" s="15">
        <f>-SUMIFS('DT-GV'!$R$6:$R$213,'DT-GV'!$H$6:$H$213,E148)</f>
        <v>-653672727</v>
      </c>
      <c r="X148" s="11">
        <f>IFERROR(VLOOKUP($E148,'Dự thu chiết khấu'!$L$3:$AK$226,26,0)/1.1,0)</f>
        <v>39220363.636363633</v>
      </c>
      <c r="Y148" s="11">
        <f>IFERROR(VLOOKUP($E148,'Dự thu chiết khấu'!$L$3:$BE$226,46,0)/1.1,0)</f>
        <v>6400545.4545454541</v>
      </c>
      <c r="Z148" s="11">
        <f>-SUMIF('Lương năng suất'!$R$4:$R$208,E148,'Lương năng suất'!$AQ$4:$AQ$208)</f>
        <v>-4200000</v>
      </c>
      <c r="AA148" s="213" t="str">
        <f>IFERROR(IF(ISNUMBER(SEARCH("TẶNG",VLOOKUP(E148,'Dự thu chiết khấu'!$L$3:$AV$226,37,0))),"TẶNG",""),"")</f>
        <v/>
      </c>
      <c r="AB148" s="213" t="str">
        <f>IFERROR(IF(ISNUMBER(SEARCH("TẶNG",VLOOKUP(E148,'Dự thu chiết khấu'!$L$3:$AW$226,38,0))),"TẶNG",""),"")</f>
        <v/>
      </c>
      <c r="AC148" s="49">
        <f t="shared" si="19"/>
        <v>16893637.090909086</v>
      </c>
      <c r="AD148" s="11">
        <f>IFERROR(VLOOKUP(E148,'Dự thu chiết khấu'!$L$3:$AM$226,28,0),0)</f>
        <v>0</v>
      </c>
      <c r="AE148" s="11">
        <f>IFERROR(VLOOKUP(E148,'Dự thu chiết khấu'!$L$3:$AN$226,29,0),0)</f>
        <v>0</v>
      </c>
      <c r="AF148" s="11">
        <f>IFERROR(VLOOKUP(E148,'Dự thu chiết khấu'!$L$3:$AO$226,30,0),0)</f>
        <v>0</v>
      </c>
    </row>
    <row r="149" spans="1:32">
      <c r="A149" s="11">
        <v>143</v>
      </c>
      <c r="B149" t="str">
        <f>IFERROR(INDEX('Dự thu chiết khấu'!$E:$E,MATCH(E149,'Dự thu chiết khấu'!$L:$L,0)),"")</f>
        <v>Nguyễn Phương Linh</v>
      </c>
      <c r="C149" s="51" t="str">
        <f>IFERROR(INDEX('Dự thu chiết khấu'!$F:$F,MATCH(E149,'Dự thu chiết khấu'!$L:$L,0)),"")</f>
        <v>Lê Đại Dương</v>
      </c>
      <c r="D149" s="4" t="str">
        <f>IFERROR(INDEX('Dự thu chiết khấu'!$H:$H,MATCH(E149,'Dự thu chiết khấu'!$L:$L,0)),"")</f>
        <v>MPV 7</v>
      </c>
      <c r="E149" s="4" t="str">
        <f>'Dự thu chiết khấu'!L146</f>
        <v>RLLVFPTTXTH739732</v>
      </c>
      <c r="F149" s="5" t="s">
        <v>138</v>
      </c>
      <c r="G149" s="5" t="str" cm="1">
        <f t="array" ref="G149">IFERROR(INDEX('DT-GV'!$X$6:$X$213,MATCH(1,('DT-GV'!$H$6:$H$213=E149)*('DT-GV'!$R$6:$R$213&lt;&gt;0),0)),IFERROR(VLOOKUP(E149,'DT-GV'!$H$6:$X$213,17,0),""))</f>
        <v>Q9KD</v>
      </c>
      <c r="H149" s="6" t="str">
        <f>VLOOKUP(E149,'Dự thu chiết khấu'!$L$3:$M$226,2,0)</f>
        <v>S11007</v>
      </c>
      <c r="I149">
        <v>1</v>
      </c>
      <c r="J149" s="11">
        <f>VLOOKUP(E149,'Dự thu chiết khấu'!$L$3:$P$226,5,0)</f>
        <v>819000000</v>
      </c>
      <c r="K149" s="12">
        <f t="shared" si="15"/>
        <v>49140000</v>
      </c>
      <c r="L149" s="12">
        <f t="shared" si="16"/>
        <v>0</v>
      </c>
      <c r="M149" s="13">
        <f>IFERROR(VLOOKUP(E149,'Dự thu chiết khấu'!$L$3:$R$226,7,0),0)</f>
        <v>0</v>
      </c>
      <c r="N149" s="14">
        <f>IFERROR(VLOOKUP(E149,'Dự thu chiết khấu'!$L$3:$S$226,8,0),0)</f>
        <v>0</v>
      </c>
      <c r="O149" s="11">
        <f>IF(IFERROR(VLOOKUP(E149,'Dự thu chiết khấu'!$L$3:$T$226,9,0),0)&gt;0,J149*$O$5,0)</f>
        <v>24570000</v>
      </c>
      <c r="P149" s="13">
        <f>IFERROR(VLOOKUP(E149,'Dự thu chiết khấu'!$L$3:$U$226,10,0),0)</f>
        <v>0.05</v>
      </c>
      <c r="Q149" s="12">
        <f>IFERROR(VLOOKUP(E149,'Dự thu chiết khấu'!$L$3:$V$226,11,0),0)</f>
        <v>0</v>
      </c>
      <c r="R149" s="12">
        <f>VLOOKUP($E149,'Dự thu chiết khấu'!$L$3:$W$226,12,0)</f>
        <v>0</v>
      </c>
      <c r="S149" s="12">
        <f t="shared" si="17"/>
        <v>640309090.90909088</v>
      </c>
      <c r="T149" s="11">
        <f t="shared" si="18"/>
        <v>-9.0909123420715332E-2</v>
      </c>
      <c r="U149" s="15">
        <f>SUMIFS('DT-GV'!$N$6:$N$213,'DT-GV'!$H$6:$H$213,E149,'DT-GV'!$R$6:$R$213,"&lt;&gt;0")</f>
        <v>640309091</v>
      </c>
      <c r="V149" s="48">
        <f>SUMIFS('DT-GV'!$N$6:$N$213,'DT-GV'!$H$6:$H$213,E149,'DT-GV'!$R$6:$R$213,0)</f>
        <v>0</v>
      </c>
      <c r="W149" s="15">
        <f>-SUMIFS('DT-GV'!$R$6:$R$213,'DT-GV'!$H$6:$H$213,E149)</f>
        <v>-714763636</v>
      </c>
      <c r="X149" s="11">
        <f>IFERROR(VLOOKUP($E149,'Dự thu chiết khấu'!$L$3:$AK$226,26,0)/1.1,0)</f>
        <v>81453272.727272719</v>
      </c>
      <c r="Y149" s="11">
        <f>IFERROR(VLOOKUP($E149,'Dự thu chiết khấu'!$L$3:$BE$226,46,0)/1.1,0)</f>
        <v>6403090.9090909082</v>
      </c>
      <c r="Z149" s="11">
        <f>-SUMIF('Lương năng suất'!$R$4:$R$208,E149,'Lương năng suất'!$AQ$4:$AQ$208)</f>
        <v>-8000000</v>
      </c>
      <c r="AA149" s="213" t="str">
        <f>IFERROR(IF(ISNUMBER(SEARCH("TẶNG",VLOOKUP(E149,'Dự thu chiết khấu'!$L$3:$AV$226,37,0))),"TẶNG",""),"")</f>
        <v/>
      </c>
      <c r="AB149" s="213" t="str">
        <f>IFERROR(IF(ISNUMBER(SEARCH("TẶNG",VLOOKUP(E149,'Dự thu chiết khấu'!$L$3:$AW$226,38,0))),"TẶNG",""),"")</f>
        <v/>
      </c>
      <c r="AC149" s="49">
        <f t="shared" si="19"/>
        <v>5401818.6363636274</v>
      </c>
      <c r="AD149" s="11">
        <f>IFERROR(VLOOKUP(E149,'Dự thu chiết khấu'!$L$3:$AM$226,28,0),0)</f>
        <v>0</v>
      </c>
      <c r="AE149" s="11">
        <f>IFERROR(VLOOKUP(E149,'Dự thu chiết khấu'!$L$3:$AN$226,29,0),0)</f>
        <v>0</v>
      </c>
      <c r="AF149" s="11">
        <f>IFERROR(VLOOKUP(E149,'Dự thu chiết khấu'!$L$3:$AO$226,30,0),0)</f>
        <v>15000000</v>
      </c>
    </row>
    <row r="150" spans="1:32">
      <c r="A150">
        <v>144</v>
      </c>
      <c r="B150" t="str">
        <f>IFERROR(INDEX('Dự thu chiết khấu'!$E:$E,MATCH(E150,'Dự thu chiết khấu'!$L:$L,0)),"")</f>
        <v>Vũ Thị Thanh Tuyền</v>
      </c>
      <c r="C150" s="51" t="str">
        <f>IFERROR(INDEX('Dự thu chiết khấu'!$F:$F,MATCH(E150,'Dự thu chiết khấu'!$L:$L,0)),"")</f>
        <v>Trần Vũ Kiệt</v>
      </c>
      <c r="D150" s="4" t="str">
        <f>IFERROR(INDEX('Dự thu chiết khấu'!$H:$H,MATCH(E150,'Dự thu chiết khấu'!$L:$L,0)),"")</f>
        <v>VF 5</v>
      </c>
      <c r="E150" s="4" t="str">
        <f>'Dự thu chiết khấu'!L147</f>
        <v>RLNV5JSE2TH704242</v>
      </c>
      <c r="F150" s="5" t="s">
        <v>138</v>
      </c>
      <c r="G150" s="5" t="str" cm="1">
        <f t="array" ref="G150">IFERROR(INDEX('DT-GV'!$X$6:$X$213,MATCH(1,('DT-GV'!$H$6:$H$213=E150)*('DT-GV'!$R$6:$R$213&lt;&gt;0),0)),IFERROR(VLOOKUP(E150,'DT-GV'!$H$6:$X$213,17,0),""))</f>
        <v>Q9KD</v>
      </c>
      <c r="H150" s="6" t="str">
        <f>VLOOKUP(E150,'Dự thu chiết khấu'!$L$3:$M$226,2,0)</f>
        <v>S11007</v>
      </c>
      <c r="I150">
        <v>1</v>
      </c>
      <c r="J150" s="11">
        <f>VLOOKUP(E150,'Dự thu chiết khấu'!$L$3:$P$226,5,0)</f>
        <v>529000000</v>
      </c>
      <c r="K150" s="12">
        <f t="shared" si="15"/>
        <v>31740000</v>
      </c>
      <c r="L150" s="12">
        <f t="shared" si="16"/>
        <v>0</v>
      </c>
      <c r="M150" s="13">
        <f>IFERROR(VLOOKUP(E150,'Dự thu chiết khấu'!$L$3:$R$226,7,0),0)</f>
        <v>0</v>
      </c>
      <c r="N150" s="14">
        <f>IFERROR(VLOOKUP(E150,'Dự thu chiết khấu'!$L$3:$S$226,8,0),0)</f>
        <v>0</v>
      </c>
      <c r="O150" s="11">
        <f>IF(IFERROR(VLOOKUP(E150,'Dự thu chiết khấu'!$L$3:$T$226,9,0),0)&gt;0,J150*$O$5,0)</f>
        <v>0</v>
      </c>
      <c r="P150" s="13">
        <f>IFERROR(VLOOKUP(E150,'Dự thu chiết khấu'!$L$3:$U$226,10,0),0)</f>
        <v>0</v>
      </c>
      <c r="Q150" s="12">
        <f>IFERROR(VLOOKUP(E150,'Dự thu chiết khấu'!$L$3:$V$226,11,0),0)</f>
        <v>0</v>
      </c>
      <c r="R150" s="12">
        <f>VLOOKUP($E150,'Dự thu chiết khấu'!$L$3:$W$226,12,0)</f>
        <v>0</v>
      </c>
      <c r="S150" s="12">
        <f t="shared" si="17"/>
        <v>452054545.45454544</v>
      </c>
      <c r="T150" s="11">
        <f t="shared" si="18"/>
        <v>0.45454543828964233</v>
      </c>
      <c r="U150" s="15">
        <f>SUMIFS('DT-GV'!$N$6:$N$213,'DT-GV'!$H$6:$H$213,E150,'DT-GV'!$R$6:$R$213,"&lt;&gt;0")</f>
        <v>452054545</v>
      </c>
      <c r="V150" s="48">
        <f>SUMIFS('DT-GV'!$N$6:$N$213,'DT-GV'!$H$6:$H$213,E150,'DT-GV'!$R$6:$R$213,0)</f>
        <v>0</v>
      </c>
      <c r="W150" s="15">
        <f>-SUMIFS('DT-GV'!$R$6:$R$213,'DT-GV'!$H$6:$H$213,E150)</f>
        <v>-461672727</v>
      </c>
      <c r="X150" s="11">
        <f>IFERROR(VLOOKUP($E150,'Dự thu chiết khấu'!$L$3:$AK$226,26,0)/1.1,0)</f>
        <v>27700363.636363633</v>
      </c>
      <c r="Y150" s="11">
        <f>IFERROR(VLOOKUP($E150,'Dự thu chiết khấu'!$L$3:$BE$226,46,0)/1.1,0)</f>
        <v>4520545.4545454541</v>
      </c>
      <c r="Z150" s="11">
        <f>-SUMIF('Lương năng suất'!$R$4:$R$208,E150,'Lương năng suất'!$AQ$4:$AQ$208)</f>
        <v>-9600000</v>
      </c>
      <c r="AA150" s="213" t="str">
        <f>IFERROR(IF(ISNUMBER(SEARCH("TẶNG",VLOOKUP(E150,'Dự thu chiết khấu'!$L$3:$AV$226,37,0))),"TẶNG",""),"")</f>
        <v/>
      </c>
      <c r="AB150" s="213" t="str">
        <f>IFERROR(IF(ISNUMBER(SEARCH("TẶNG",VLOOKUP(E150,'Dự thu chiết khấu'!$L$3:$AW$226,38,0))),"TẶNG",""),"")</f>
        <v/>
      </c>
      <c r="AC150" s="49">
        <f t="shared" si="19"/>
        <v>13002727.090909086</v>
      </c>
      <c r="AD150" s="11">
        <f>IFERROR(VLOOKUP(E150,'Dự thu chiết khấu'!$L$3:$AM$226,28,0),0)</f>
        <v>0</v>
      </c>
      <c r="AE150" s="11">
        <f>IFERROR(VLOOKUP(E150,'Dự thu chiết khấu'!$L$3:$AN$226,29,0),0)</f>
        <v>0</v>
      </c>
      <c r="AF150" s="11">
        <f>IFERROR(VLOOKUP(E150,'Dự thu chiết khấu'!$L$3:$AO$226,30,0),0)</f>
        <v>0</v>
      </c>
    </row>
    <row r="151" spans="1:32">
      <c r="A151" s="11">
        <v>145</v>
      </c>
      <c r="B151" t="str">
        <f>IFERROR(INDEX('Dự thu chiết khấu'!$E:$E,MATCH(E151,'Dự thu chiết khấu'!$L:$L,0)),"")</f>
        <v>Vũ Đức Danh</v>
      </c>
      <c r="C151" s="51" t="str">
        <f>IFERROR(INDEX('Dự thu chiết khấu'!$F:$F,MATCH(E151,'Dự thu chiết khấu'!$L:$L,0)),"")</f>
        <v>Bùi Thị Ngọc Loan</v>
      </c>
      <c r="D151" s="4" t="str">
        <f>IFERROR(INDEX('Dự thu chiết khấu'!$H:$H,MATCH(E151,'Dự thu chiết khấu'!$L:$L,0)),"")</f>
        <v>VF 3</v>
      </c>
      <c r="E151" s="4" t="str">
        <f>'Dự thu chiết khấu'!L148</f>
        <v>RLNVBL9K2TT713116</v>
      </c>
      <c r="F151" s="5" t="s">
        <v>138</v>
      </c>
      <c r="G151" s="5" t="str" cm="1">
        <f t="array" ref="G151">IFERROR(INDEX('DT-GV'!$X$6:$X$213,MATCH(1,('DT-GV'!$H$6:$H$213=E151)*('DT-GV'!$R$6:$R$213&lt;&gt;0),0)),IFERROR(VLOOKUP(E151,'DT-GV'!$H$6:$X$213,17,0),""))</f>
        <v>Q9KD</v>
      </c>
      <c r="H151" s="6" t="str">
        <f>VLOOKUP(E151,'Dự thu chiết khấu'!$L$3:$M$226,2,0)</f>
        <v>S11007</v>
      </c>
      <c r="I151">
        <v>1</v>
      </c>
      <c r="J151" s="11">
        <f>VLOOKUP(E151,'Dự thu chiết khấu'!$L$3:$P$226,5,0)</f>
        <v>315000000</v>
      </c>
      <c r="K151" s="12">
        <f t="shared" si="15"/>
        <v>18900000</v>
      </c>
      <c r="L151" s="12">
        <f t="shared" si="16"/>
        <v>0</v>
      </c>
      <c r="M151" s="13">
        <f>IFERROR(VLOOKUP(E151,'Dự thu chiết khấu'!$L$3:$R$226,7,0),0)</f>
        <v>0</v>
      </c>
      <c r="N151" s="14">
        <f>IFERROR(VLOOKUP(E151,'Dự thu chiết khấu'!$L$3:$S$226,8,0),0)</f>
        <v>0</v>
      </c>
      <c r="O151" s="11">
        <f>IF(IFERROR(VLOOKUP(E151,'Dự thu chiết khấu'!$L$3:$T$226,9,0),0)&gt;0,J151*$O$5,0)</f>
        <v>9450000</v>
      </c>
      <c r="P151" s="13">
        <f>IFERROR(VLOOKUP(E151,'Dự thu chiết khấu'!$L$3:$U$226,10,0),0)</f>
        <v>0</v>
      </c>
      <c r="Q151" s="12">
        <f>IFERROR(VLOOKUP(E151,'Dự thu chiết khấu'!$L$3:$V$226,11,0),0)</f>
        <v>0</v>
      </c>
      <c r="R151" s="12">
        <f>VLOOKUP($E151,'Dự thu chiết khấu'!$L$3:$W$226,12,0)</f>
        <v>0</v>
      </c>
      <c r="S151" s="12">
        <f t="shared" si="17"/>
        <v>260590909.09090906</v>
      </c>
      <c r="T151" s="11">
        <f t="shared" si="18"/>
        <v>9.0909063816070557E-2</v>
      </c>
      <c r="U151" s="15">
        <f>SUMIFS('DT-GV'!$N$6:$N$213,'DT-GV'!$H$6:$H$213,E151,'DT-GV'!$R$6:$R$213,"&lt;&gt;0")</f>
        <v>260590909</v>
      </c>
      <c r="V151" s="48">
        <f>SUMIFS('DT-GV'!$N$6:$N$213,'DT-GV'!$H$6:$H$213,E151,'DT-GV'!$R$6:$R$213,0)</f>
        <v>0</v>
      </c>
      <c r="W151" s="15">
        <f>-SUMIFS('DT-GV'!$R$6:$R$213,'DT-GV'!$H$6:$H$213,E151)</f>
        <v>-274909091</v>
      </c>
      <c r="X151" s="11">
        <f>IFERROR(VLOOKUP($E151,'Dự thu chiết khấu'!$L$3:$AK$226,26,0)/1.1,0)</f>
        <v>24741818.18181818</v>
      </c>
      <c r="Y151" s="11">
        <f>IFERROR(VLOOKUP($E151,'Dự thu chiết khấu'!$L$3:$BE$226,46,0)/1.1,0)</f>
        <v>2605909.0909090908</v>
      </c>
      <c r="Z151" s="11">
        <f>-SUMIF('Lương năng suất'!$R$4:$R$208,E151,'Lương năng suất'!$AQ$4:$AQ$208)</f>
        <v>-6800000</v>
      </c>
      <c r="AA151" s="213" t="str">
        <f>IFERROR(IF(ISNUMBER(SEARCH("TẶNG",VLOOKUP(E151,'Dự thu chiết khấu'!$L$3:$AV$226,37,0))),"TẶNG",""),"")</f>
        <v/>
      </c>
      <c r="AB151" s="213" t="str">
        <f>IFERROR(IF(ISNUMBER(SEARCH("TẶNG",VLOOKUP(E151,'Dự thu chiết khấu'!$L$3:$AW$226,38,0))),"TẶNG",""),"")</f>
        <v/>
      </c>
      <c r="AC151" s="49">
        <f t="shared" si="19"/>
        <v>6229545.2727272697</v>
      </c>
      <c r="AD151" s="11">
        <f>IFERROR(VLOOKUP(E151,'Dự thu chiết khấu'!$L$3:$AM$226,28,0),0)</f>
        <v>0</v>
      </c>
      <c r="AE151" s="11">
        <f>IFERROR(VLOOKUP(E151,'Dự thu chiết khấu'!$L$3:$AN$226,29,0),0)</f>
        <v>0</v>
      </c>
      <c r="AF151" s="11">
        <f>IFERROR(VLOOKUP(E151,'Dự thu chiết khấu'!$L$3:$AO$226,30,0),0)</f>
        <v>0</v>
      </c>
    </row>
    <row r="152" spans="1:32" ht="23">
      <c r="A152">
        <v>146</v>
      </c>
      <c r="B152" t="str">
        <f>IFERROR(INDEX('Dự thu chiết khấu'!$E:$E,MATCH(E152,'Dự thu chiết khấu'!$L:$L,0)),"")</f>
        <v>Võ Hoài Nhật</v>
      </c>
      <c r="C152" s="51" t="str">
        <f>IFERROR(INDEX('Dự thu chiết khấu'!$F:$F,MATCH(E152,'Dự thu chiết khấu'!$L:$L,0)),"")</f>
        <v>Công ty TNHH Vận Tải Hà Quỳnh Anh</v>
      </c>
      <c r="D152" s="4" t="str">
        <f>IFERROR(INDEX('Dự thu chiết khấu'!$H:$H,MATCH(E152,'Dự thu chiết khấu'!$L:$L,0)),"")</f>
        <v>LIMO GREEN</v>
      </c>
      <c r="E152" s="4" t="str">
        <f>'Dự thu chiết khấu'!L149</f>
        <v>RLLVFPNT0TH756097</v>
      </c>
      <c r="F152" s="5" t="s">
        <v>138</v>
      </c>
      <c r="G152" s="5" t="str" cm="1">
        <f t="array" ref="G152">IFERROR(INDEX('DT-GV'!$X$6:$X$213,MATCH(1,('DT-GV'!$H$6:$H$213=E152)*('DT-GV'!$R$6:$R$213&lt;&gt;0),0)),IFERROR(VLOOKUP(E152,'DT-GV'!$H$6:$X$213,17,0),""))</f>
        <v>Q9KD</v>
      </c>
      <c r="H152" s="8" t="str">
        <f>VLOOKUP(E152,'Dự thu chiết khấu'!$L$3:$M$226,2,0)</f>
        <v>S11007</v>
      </c>
      <c r="I152">
        <v>1</v>
      </c>
      <c r="J152" s="11">
        <f>VLOOKUP(E152,'Dự thu chiết khấu'!$L$3:$P$226,5,0)</f>
        <v>749000000</v>
      </c>
      <c r="K152" s="12">
        <f t="shared" si="15"/>
        <v>44940000</v>
      </c>
      <c r="L152" s="12">
        <f t="shared" si="16"/>
        <v>0</v>
      </c>
      <c r="M152" s="13">
        <f>IFERROR(VLOOKUP(E152,'Dự thu chiết khấu'!$L$3:$R$226,7,0),0)</f>
        <v>0</v>
      </c>
      <c r="N152" s="14">
        <f>IFERROR(VLOOKUP(E152,'Dự thu chiết khấu'!$L$3:$S$226,8,0),0)</f>
        <v>0</v>
      </c>
      <c r="O152" s="11">
        <f>IF(IFERROR(VLOOKUP(E152,'Dự thu chiết khấu'!$L$3:$T$226,9,0),0)&gt;0,J152*$O$5,0)</f>
        <v>0</v>
      </c>
      <c r="P152" s="13">
        <f>IFERROR(VLOOKUP(E152,'Dự thu chiết khấu'!$L$3:$U$226,10,0),0)</f>
        <v>0</v>
      </c>
      <c r="Q152" s="12">
        <f>IFERROR(VLOOKUP(E152,'Dự thu chiết khấu'!$L$3:$V$226,11,0),0)</f>
        <v>0</v>
      </c>
      <c r="R152" s="12">
        <f>VLOOKUP($E152,'Dự thu chiết khấu'!$L$3:$W$226,12,0)</f>
        <v>12000000</v>
      </c>
      <c r="S152" s="12">
        <f t="shared" si="17"/>
        <v>629145454.5454545</v>
      </c>
      <c r="T152" s="11">
        <f t="shared" si="18"/>
        <v>-0.45454549789428711</v>
      </c>
      <c r="U152" s="15">
        <f>SUMIFS('DT-GV'!$N$6:$N$213,'DT-GV'!$H$6:$H$213,E152,'DT-GV'!$R$6:$R$213,"&lt;&gt;0")</f>
        <v>629145455</v>
      </c>
      <c r="V152" s="48">
        <f>SUMIFS('DT-GV'!$N$6:$N$213,'DT-GV'!$H$6:$H$213,E152,'DT-GV'!$R$6:$R$213,0)</f>
        <v>0</v>
      </c>
      <c r="W152" s="15">
        <f>-SUMIFS('DT-GV'!$R$6:$R$213,'DT-GV'!$H$6:$H$213,E152)</f>
        <v>-653672727</v>
      </c>
      <c r="X152" s="11">
        <f>IFERROR(VLOOKUP($E152,'Dự thu chiết khấu'!$L$3:$AK$226,26,0)/1.1,0)</f>
        <v>39220363.636363633</v>
      </c>
      <c r="Y152" s="11">
        <f>IFERROR(VLOOKUP($E152,'Dự thu chiết khấu'!$L$3:$BE$226,46,0)/1.1,0)</f>
        <v>6400545.4545454541</v>
      </c>
      <c r="Z152" s="11">
        <f>-SUMIF('Lương năng suất'!$R$4:$R$208,E152,'Lương năng suất'!$AQ$4:$AQ$208)</f>
        <v>-4200000</v>
      </c>
      <c r="AA152" s="213" t="str">
        <f>IFERROR(IF(ISNUMBER(SEARCH("TẶNG",VLOOKUP(E152,'Dự thu chiết khấu'!$L$3:$AV$226,37,0))),"TẶNG",""),"")</f>
        <v/>
      </c>
      <c r="AB152" s="213" t="str">
        <f>IFERROR(IF(ISNUMBER(SEARCH("TẶNG",VLOOKUP(E152,'Dự thu chiết khấu'!$L$3:$AW$226,38,0))),"TẶNG",""),"")</f>
        <v/>
      </c>
      <c r="AC152" s="49">
        <f t="shared" si="19"/>
        <v>16893637.090909086</v>
      </c>
      <c r="AD152" s="11">
        <f>IFERROR(VLOOKUP(E152,'Dự thu chiết khấu'!$L$3:$AM$226,28,0),0)</f>
        <v>0</v>
      </c>
      <c r="AE152" s="11">
        <f>IFERROR(VLOOKUP(E152,'Dự thu chiết khấu'!$L$3:$AN$226,29,0),0)</f>
        <v>0</v>
      </c>
      <c r="AF152" s="11">
        <f>IFERROR(VLOOKUP(E152,'Dự thu chiết khấu'!$L$3:$AO$226,30,0),0)</f>
        <v>10000000</v>
      </c>
    </row>
    <row r="153" spans="1:32">
      <c r="A153" s="11">
        <v>147</v>
      </c>
      <c r="B153" t="str">
        <f>IFERROR(INDEX('Dự thu chiết khấu'!$E:$E,MATCH(E153,'Dự thu chiết khấu'!$L:$L,0)),"")</f>
        <v>Phạm Hoàng Long</v>
      </c>
      <c r="C153" s="51" t="str">
        <f>IFERROR(INDEX('Dự thu chiết khấu'!$F:$F,MATCH(E153,'Dự thu chiết khấu'!$L:$L,0)),"")</f>
        <v>Phùng Gia Văn</v>
      </c>
      <c r="D153" s="4" t="str">
        <f>IFERROR(INDEX('Dự thu chiết khấu'!$H:$H,MATCH(E153,'Dự thu chiết khấu'!$L:$L,0)),"")</f>
        <v>LIMO GREEN</v>
      </c>
      <c r="E153" s="4" t="str">
        <f>'Dự thu chiết khấu'!L150</f>
        <v>RLLVFPNT5TH749663</v>
      </c>
      <c r="F153" s="5" t="s">
        <v>138</v>
      </c>
      <c r="G153" s="5" t="str" cm="1">
        <f t="array" ref="G153">IFERROR(INDEX('DT-GV'!$X$6:$X$213,MATCH(1,('DT-GV'!$H$6:$H$213=E153)*('DT-GV'!$R$6:$R$213&lt;&gt;0),0)),IFERROR(VLOOKUP(E153,'DT-GV'!$H$6:$X$213,17,0),""))</f>
        <v>Q9KD</v>
      </c>
      <c r="H153" s="8" t="str">
        <f>VLOOKUP(E153,'Dự thu chiết khấu'!$L$3:$M$226,2,0)</f>
        <v>S11007</v>
      </c>
      <c r="I153">
        <v>1</v>
      </c>
      <c r="J153" s="11">
        <f>VLOOKUP(E153,'Dự thu chiết khấu'!$L$3:$P$226,5,0)</f>
        <v>749000000</v>
      </c>
      <c r="K153" s="12">
        <f t="shared" si="15"/>
        <v>44940000</v>
      </c>
      <c r="L153" s="12">
        <f t="shared" si="16"/>
        <v>0</v>
      </c>
      <c r="M153" s="13">
        <f>IFERROR(VLOOKUP(E153,'Dự thu chiết khấu'!$L$3:$R$226,7,0),0)</f>
        <v>0</v>
      </c>
      <c r="N153" s="14">
        <f>IFERROR(VLOOKUP(E153,'Dự thu chiết khấu'!$L$3:$S$226,8,0),0)</f>
        <v>0</v>
      </c>
      <c r="O153" s="11">
        <f>IF(IFERROR(VLOOKUP(E153,'Dự thu chiết khấu'!$L$3:$T$226,9,0),0)&gt;0,J153*$O$5,0)</f>
        <v>0</v>
      </c>
      <c r="P153" s="13">
        <f>IFERROR(VLOOKUP(E153,'Dự thu chiết khấu'!$L$3:$U$226,10,0),0)</f>
        <v>0</v>
      </c>
      <c r="Q153" s="12">
        <f>IFERROR(VLOOKUP(E153,'Dự thu chiết khấu'!$L$3:$V$226,11,0),0)</f>
        <v>0</v>
      </c>
      <c r="R153" s="12">
        <f>VLOOKUP($E153,'Dự thu chiết khấu'!$L$3:$W$226,12,0)</f>
        <v>0</v>
      </c>
      <c r="S153" s="12">
        <f t="shared" si="17"/>
        <v>640054545.45454538</v>
      </c>
      <c r="T153" s="11">
        <f t="shared" si="18"/>
        <v>0.45454537868499756</v>
      </c>
      <c r="U153" s="15">
        <f>SUMIFS('DT-GV'!$N$6:$N$213,'DT-GV'!$H$6:$H$213,E153,'DT-GV'!$R$6:$R$213,"&lt;&gt;0")</f>
        <v>640054545</v>
      </c>
      <c r="V153" s="48">
        <f>SUMIFS('DT-GV'!$N$6:$N$213,'DT-GV'!$H$6:$H$213,E153,'DT-GV'!$R$6:$R$213,0)</f>
        <v>0</v>
      </c>
      <c r="W153" s="15">
        <f>-SUMIFS('DT-GV'!$R$6:$R$213,'DT-GV'!$H$6:$H$213,E153)</f>
        <v>-653672727</v>
      </c>
      <c r="X153" s="11">
        <f>IFERROR(VLOOKUP($E153,'Dự thu chiết khấu'!$L$3:$AK$226,26,0)/1.1,0)</f>
        <v>39220363.636363633</v>
      </c>
      <c r="Y153" s="11">
        <f>IFERROR(VLOOKUP($E153,'Dự thu chiết khấu'!$L$3:$BE$226,46,0)/1.1,0)</f>
        <v>6400545.4545454541</v>
      </c>
      <c r="Z153" s="11">
        <f>-SUMIF('Lương năng suất'!$R$4:$R$208,E153,'Lương năng suất'!$AQ$4:$AQ$208)</f>
        <v>-16400000</v>
      </c>
      <c r="AA153" s="213" t="str">
        <f>IFERROR(IF(ISNUMBER(SEARCH("TẶNG",VLOOKUP(E153,'Dự thu chiết khấu'!$L$3:$AV$226,37,0))),"TẶNG",""),"")</f>
        <v/>
      </c>
      <c r="AB153" s="213" t="str">
        <f>IFERROR(IF(ISNUMBER(SEARCH("TẶNG",VLOOKUP(E153,'Dự thu chiết khấu'!$L$3:$AW$226,38,0))),"TẶNG",""),"")</f>
        <v/>
      </c>
      <c r="AC153" s="49">
        <f t="shared" si="19"/>
        <v>15602727.090909086</v>
      </c>
      <c r="AD153" s="11">
        <f>IFERROR(VLOOKUP(E153,'Dự thu chiết khấu'!$L$3:$AM$226,28,0),0)</f>
        <v>0</v>
      </c>
      <c r="AE153" s="11">
        <f>IFERROR(VLOOKUP(E153,'Dự thu chiết khấu'!$L$3:$AN$226,29,0),0)</f>
        <v>0</v>
      </c>
      <c r="AF153" s="11">
        <f>IFERROR(VLOOKUP(E153,'Dự thu chiết khấu'!$L$3:$AO$226,30,0),0)</f>
        <v>0</v>
      </c>
    </row>
    <row r="154" spans="1:32" s="52" customFormat="1">
      <c r="A154">
        <v>148</v>
      </c>
      <c r="B154" t="str">
        <f>IFERROR(INDEX('Dự thu chiết khấu'!$E:$E,MATCH(E154,'Dự thu chiết khấu'!$L:$L,0)),"")</f>
        <v>Phạm Nguyễn Hằng Ni</v>
      </c>
      <c r="C154" s="51" t="str">
        <f>IFERROR(INDEX('Dự thu chiết khấu'!$F:$F,MATCH(E154,'Dự thu chiết khấu'!$L:$L,0)),"")</f>
        <v>Nguyễn Hoàng Tú Anh</v>
      </c>
      <c r="D154" s="4" t="str">
        <f>IFERROR(INDEX('Dự thu chiết khấu'!$H:$H,MATCH(E154,'Dự thu chiết khấu'!$L:$L,0)),"")</f>
        <v>LIMO GREEN</v>
      </c>
      <c r="E154" s="4" t="str">
        <f>'Dự thu chiết khấu'!L151</f>
        <v>RLLVFPNT3TH716645</v>
      </c>
      <c r="F154" s="5" t="s">
        <v>138</v>
      </c>
      <c r="G154" s="5" t="str" cm="1">
        <f t="array" ref="G154">IFERROR(INDEX('DT-GV'!$X$6:$X$213,MATCH(1,('DT-GV'!$H$6:$H$213=E154)*('DT-GV'!$R$6:$R$213&lt;&gt;0),0)),IFERROR(VLOOKUP(E154,'DT-GV'!$H$6:$X$213,17,0),""))</f>
        <v>Q9KD</v>
      </c>
      <c r="H154" s="58" t="str">
        <f>VLOOKUP(E154,'Dự thu chiết khấu'!$L$3:$M$226,2,0)</f>
        <v>S11007</v>
      </c>
      <c r="I154" s="52">
        <v>1</v>
      </c>
      <c r="J154" s="54">
        <f>VLOOKUP(E154,'Dự thu chiết khấu'!$L$3:$P$226,5,0)</f>
        <v>749000000</v>
      </c>
      <c r="K154" s="55">
        <f t="shared" si="15"/>
        <v>44940000</v>
      </c>
      <c r="L154" s="55">
        <f t="shared" si="16"/>
        <v>0</v>
      </c>
      <c r="M154" s="56">
        <f>IFERROR(VLOOKUP(E154,'Dự thu chiết khấu'!$L$3:$R$226,7,0),0)</f>
        <v>0</v>
      </c>
      <c r="N154" s="14">
        <f>IFERROR(VLOOKUP(E154,'Dự thu chiết khấu'!$L$3:$S$226,8,0),0)</f>
        <v>0</v>
      </c>
      <c r="O154" s="54">
        <f>IF(IFERROR(VLOOKUP(E154,'Dự thu chiết khấu'!$L$3:$T$226,9,0),0)&gt;0,J154*$O$5,0)</f>
        <v>22470000</v>
      </c>
      <c r="P154" s="56">
        <f>IFERROR(VLOOKUP(E154,'Dự thu chiết khấu'!$L$3:$U$226,10,0),0)</f>
        <v>0</v>
      </c>
      <c r="Q154" s="55">
        <f>IFERROR(VLOOKUP(E154,'Dự thu chiết khấu'!$L$3:$V$226,11,0),0)</f>
        <v>0</v>
      </c>
      <c r="R154" s="12">
        <f>VLOOKUP($E154,'Dự thu chiết khấu'!$L$3:$W$226,12,0)</f>
        <v>12000000</v>
      </c>
      <c r="S154" s="12">
        <f t="shared" si="17"/>
        <v>608718181.81818175</v>
      </c>
      <c r="T154" s="11">
        <f t="shared" si="18"/>
        <v>-0.18181824684143066</v>
      </c>
      <c r="U154" s="15">
        <f>SUMIFS('DT-GV'!$N$6:$N$213,'DT-GV'!$H$6:$H$213,E154,'DT-GV'!$R$6:$R$213,"&lt;&gt;0")</f>
        <v>608718182</v>
      </c>
      <c r="V154" s="48">
        <f>SUMIFS('DT-GV'!$N$6:$N$213,'DT-GV'!$H$6:$H$213,E154,'DT-GV'!$R$6:$R$213,0)</f>
        <v>0</v>
      </c>
      <c r="W154" s="15">
        <f>-SUMIFS('DT-GV'!$R$6:$R$213,'DT-GV'!$H$6:$H$213,E154)</f>
        <v>-653672727</v>
      </c>
      <c r="X154" s="54">
        <f>IFERROR(VLOOKUP($E154,'Dự thu chiết khấu'!$L$3:$AK$226,26,0)/1.1,0)</f>
        <v>58830545.454545453</v>
      </c>
      <c r="Y154" s="54">
        <f>IFERROR(VLOOKUP($E154,'Dự thu chiết khấu'!$L$3:$BE$226,46,0)/1.1,0)</f>
        <v>6196272.7272727266</v>
      </c>
      <c r="Z154" s="11">
        <f>-SUMIF('Lương năng suất'!$R$4:$R$208,E154,'Lương năng suất'!$AQ$4:$AQ$208)</f>
        <v>-10600000</v>
      </c>
      <c r="AA154" s="214" t="str">
        <f>IFERROR(IF(ISNUMBER(SEARCH("TẶNG",VLOOKUP(E154,'Dự thu chiết khấu'!$L$3:$AV$226,37,0))),"TẶNG",""),"")</f>
        <v/>
      </c>
      <c r="AB154" s="214" t="str">
        <f>IFERROR(IF(ISNUMBER(SEARCH("TẶNG",VLOOKUP(E154,'Dự thu chiết khấu'!$L$3:$AW$226,38,0))),"TẶNG",""),"")</f>
        <v/>
      </c>
      <c r="AC154" s="57">
        <f t="shared" si="19"/>
        <v>9472273.1818181798</v>
      </c>
      <c r="AD154" s="11">
        <f>IFERROR(VLOOKUP(E154,'Dự thu chiết khấu'!$L$3:$AM$226,28,0),0)</f>
        <v>0</v>
      </c>
      <c r="AE154" s="11">
        <f>IFERROR(VLOOKUP(E154,'Dự thu chiết khấu'!$L$3:$AN$226,29,0),0)</f>
        <v>0</v>
      </c>
      <c r="AF154" s="11">
        <f>IFERROR(VLOOKUP(E154,'Dự thu chiết khấu'!$L$3:$AO$226,30,0),0)</f>
        <v>0</v>
      </c>
    </row>
    <row r="155" spans="1:32">
      <c r="A155" s="11">
        <v>149</v>
      </c>
      <c r="B155" t="str">
        <f>IFERROR(INDEX('Dự thu chiết khấu'!$E:$E,MATCH(E155,'Dự thu chiết khấu'!$L:$L,0)),"")</f>
        <v>Vòng Tạt Lình</v>
      </c>
      <c r="C155" s="51" t="str">
        <f>IFERROR(INDEX('Dự thu chiết khấu'!$F:$F,MATCH(E155,'Dự thu chiết khấu'!$L:$L,0)),"")</f>
        <v>Mai Nhật Thái</v>
      </c>
      <c r="D155" s="4" t="str">
        <f>IFERROR(INDEX('Dự thu chiết khấu'!$H:$H,MATCH(E155,'Dự thu chiết khấu'!$L:$L,0)),"")</f>
        <v>LIMO GREEN</v>
      </c>
      <c r="E155" s="4" t="str">
        <f>'Dự thu chiết khấu'!L152</f>
        <v>RLLVFPNT7TH750555</v>
      </c>
      <c r="F155" s="5" t="s">
        <v>138</v>
      </c>
      <c r="G155" s="5" t="str" cm="1">
        <f t="array" ref="G155">IFERROR(INDEX('DT-GV'!$X$6:$X$213,MATCH(1,('DT-GV'!$H$6:$H$213=E155)*('DT-GV'!$R$6:$R$213&lt;&gt;0),0)),IFERROR(VLOOKUP(E155,'DT-GV'!$H$6:$X$213,17,0),""))</f>
        <v>Q9KD</v>
      </c>
      <c r="H155" s="6" t="str">
        <f>VLOOKUP(E155,'Dự thu chiết khấu'!$L$3:$M$226,2,0)</f>
        <v>S11006</v>
      </c>
      <c r="I155">
        <v>1</v>
      </c>
      <c r="J155" s="11">
        <f>VLOOKUP(E155,'Dự thu chiết khấu'!$L$3:$P$226,5,0)</f>
        <v>749000000</v>
      </c>
      <c r="K155" s="12">
        <f t="shared" si="15"/>
        <v>44940000</v>
      </c>
      <c r="L155" s="12">
        <f t="shared" si="16"/>
        <v>0</v>
      </c>
      <c r="M155" s="13">
        <f>IFERROR(VLOOKUP(E155,'Dự thu chiết khấu'!$L$3:$R$226,7,0),0)</f>
        <v>0</v>
      </c>
      <c r="N155" s="14">
        <f>IFERROR(VLOOKUP(E155,'Dự thu chiết khấu'!$L$3:$S$226,8,0),0)</f>
        <v>0</v>
      </c>
      <c r="O155" s="11">
        <f>IF(IFERROR(VLOOKUP(E155,'Dự thu chiết khấu'!$L$3:$T$226,9,0),0)&gt;0,J155*$O$5,0)</f>
        <v>0</v>
      </c>
      <c r="P155" s="13">
        <f>IFERROR(VLOOKUP(E155,'Dự thu chiết khấu'!$L$3:$U$226,10,0),0)</f>
        <v>0</v>
      </c>
      <c r="Q155" s="12">
        <f>IFERROR(VLOOKUP(E155,'Dự thu chiết khấu'!$L$3:$V$226,11,0),0)</f>
        <v>0</v>
      </c>
      <c r="R155" s="12">
        <f>VLOOKUP($E155,'Dự thu chiết khấu'!$L$3:$W$226,12,0)</f>
        <v>10000000</v>
      </c>
      <c r="S155" s="12">
        <f t="shared" si="17"/>
        <v>630963636.36363626</v>
      </c>
      <c r="T155" s="11">
        <f t="shared" si="18"/>
        <v>0.36363625526428223</v>
      </c>
      <c r="U155" s="15">
        <f>SUMIFS('DT-GV'!$N$6:$N$213,'DT-GV'!$H$6:$H$213,E155,'DT-GV'!$R$6:$R$213,"&lt;&gt;0")</f>
        <v>630963636</v>
      </c>
      <c r="V155" s="48">
        <f>SUMIFS('DT-GV'!$N$6:$N$213,'DT-GV'!$H$6:$H$213,E155,'DT-GV'!$R$6:$R$213,0)</f>
        <v>0</v>
      </c>
      <c r="W155" s="15">
        <f>-SUMIFS('DT-GV'!$R$6:$R$213,'DT-GV'!$H$6:$H$213,E155)</f>
        <v>-653672727</v>
      </c>
      <c r="X155" s="11">
        <f>IFERROR(VLOOKUP($E155,'Dự thu chiết khấu'!$L$3:$AK$226,26,0)/1.1,0)</f>
        <v>39220363.636363633</v>
      </c>
      <c r="Y155" s="11">
        <f>IFERROR(VLOOKUP($E155,'Dự thu chiết khấu'!$L$3:$BE$226,46,0)/1.1,0)</f>
        <v>6400545.4545454541</v>
      </c>
      <c r="Z155" s="11">
        <f>-SUMIF('Lương năng suất'!$R$4:$R$208,E155,'Lương năng suất'!$AQ$4:$AQ$208)</f>
        <v>-7200000</v>
      </c>
      <c r="AA155" s="213" t="str">
        <f>IFERROR(IF(ISNUMBER(SEARCH("TẶNG",VLOOKUP(E155,'Dự thu chiết khấu'!$L$3:$AV$226,37,0))),"TẶNG",""),"")</f>
        <v/>
      </c>
      <c r="AB155" s="213" t="str">
        <f>IFERROR(IF(ISNUMBER(SEARCH("TẶNG",VLOOKUP(E155,'Dự thu chiết khấu'!$L$3:$AW$226,38,0))),"TẶNG",""),"")</f>
        <v/>
      </c>
      <c r="AC155" s="49">
        <f t="shared" si="19"/>
        <v>15711818.090909086</v>
      </c>
      <c r="AD155" s="11">
        <f>IFERROR(VLOOKUP(E155,'Dự thu chiết khấu'!$L$3:$AM$226,28,0),0)</f>
        <v>0</v>
      </c>
      <c r="AE155" s="11">
        <f>IFERROR(VLOOKUP(E155,'Dự thu chiết khấu'!$L$3:$AN$226,29,0),0)</f>
        <v>0</v>
      </c>
      <c r="AF155" s="11">
        <f>IFERROR(VLOOKUP(E155,'Dự thu chiết khấu'!$L$3:$AO$226,30,0),0)</f>
        <v>0</v>
      </c>
    </row>
    <row r="156" spans="1:32">
      <c r="A156">
        <v>150</v>
      </c>
      <c r="B156" t="str">
        <f>IFERROR(INDEX('Dự thu chiết khấu'!$E:$E,MATCH(E156,'Dự thu chiết khấu'!$L:$L,0)),"")</f>
        <v>Lê Minh Đức</v>
      </c>
      <c r="C156" s="51" t="str">
        <f>IFERROR(INDEX('Dự thu chiết khấu'!$F:$F,MATCH(E156,'Dự thu chiết khấu'!$L:$L,0)),"")</f>
        <v>NGUYỄN HUY HOÀNG</v>
      </c>
      <c r="D156" s="4" t="str">
        <f>IFERROR(INDEX('Dự thu chiết khấu'!$H:$H,MATCH(E156,'Dự thu chiết khấu'!$L:$L,0)),"")</f>
        <v>VF 3</v>
      </c>
      <c r="E156" s="4" t="str">
        <f>'Dự thu chiết khấu'!L153</f>
        <v>RLNVBL9K7TT714861</v>
      </c>
      <c r="F156" s="5" t="s">
        <v>100</v>
      </c>
      <c r="G156" s="5" t="str" cm="1">
        <f t="array" ref="G156">IFERROR(INDEX('DT-GV'!$X$6:$X$213,MATCH(1,('DT-GV'!$H$6:$H$213=E156)*('DT-GV'!$R$6:$R$213&lt;&gt;0),0)),IFERROR(VLOOKUP(E156,'DT-GV'!$H$6:$X$213,17,0),""))</f>
        <v>LAKD</v>
      </c>
      <c r="H156" s="6" t="str">
        <f>VLOOKUP(E156,'Dự thu chiết khấu'!$L$3:$M$226,2,0)</f>
        <v>S11001</v>
      </c>
      <c r="I156">
        <v>1</v>
      </c>
      <c r="J156" s="11">
        <f>VLOOKUP(E156,'Dự thu chiết khấu'!$L$3:$P$226,5,0)</f>
        <v>302000000</v>
      </c>
      <c r="K156" s="12">
        <f t="shared" si="15"/>
        <v>18120000</v>
      </c>
      <c r="L156" s="12">
        <f t="shared" si="16"/>
        <v>0</v>
      </c>
      <c r="M156" s="13">
        <f>IFERROR(VLOOKUP(E156,'Dự thu chiết khấu'!$L$3:$R$226,7,0),0)</f>
        <v>0</v>
      </c>
      <c r="N156" s="14">
        <f>IFERROR(VLOOKUP(E156,'Dự thu chiết khấu'!$L$3:$S$226,8,0),0)</f>
        <v>0</v>
      </c>
      <c r="O156" s="11">
        <f>IF(IFERROR(VLOOKUP(E156,'Dự thu chiết khấu'!$L$3:$T$226,9,0),0)&gt;0,J156*$O$5,0)</f>
        <v>0</v>
      </c>
      <c r="P156" s="13">
        <f>IFERROR(VLOOKUP(E156,'Dự thu chiết khấu'!$L$3:$U$226,10,0),0)</f>
        <v>0</v>
      </c>
      <c r="Q156" s="12">
        <f>IFERROR(VLOOKUP(E156,'Dự thu chiết khấu'!$L$3:$V$226,11,0),0)</f>
        <v>0</v>
      </c>
      <c r="R156" s="12">
        <f>VLOOKUP($E156,'Dự thu chiết khấu'!$L$3:$W$226,12,0)</f>
        <v>0</v>
      </c>
      <c r="S156" s="12">
        <f t="shared" si="17"/>
        <v>258072727.27272725</v>
      </c>
      <c r="T156" s="11">
        <f t="shared" si="18"/>
        <v>0.27272725105285645</v>
      </c>
      <c r="U156" s="15">
        <f>SUMIFS('DT-GV'!$N$6:$N$213,'DT-GV'!$H$6:$H$213,E156,'DT-GV'!$R$6:$R$213,"&lt;&gt;0")</f>
        <v>258072727</v>
      </c>
      <c r="V156" s="48">
        <f>SUMIFS('DT-GV'!$N$6:$N$213,'DT-GV'!$H$6:$H$213,E156,'DT-GV'!$R$6:$R$213,0)</f>
        <v>0</v>
      </c>
      <c r="W156" s="15">
        <f>-SUMIFS('DT-GV'!$R$6:$R$213,'DT-GV'!$H$6:$H$213,E156)</f>
        <v>-263563636</v>
      </c>
      <c r="X156" s="11">
        <f>IFERROR(VLOOKUP($E156,'Dự thu chiết khấu'!$L$3:$AK$226,26,0)/1.1,0)</f>
        <v>15813818.18181818</v>
      </c>
      <c r="Y156" s="11">
        <f>IFERROR(VLOOKUP($E156,'Dự thu chiết khấu'!$L$3:$BE$226,46,0)/1.1,0)</f>
        <v>0</v>
      </c>
      <c r="Z156" s="11">
        <f>-SUMIF('Lương năng suất'!$R$4:$R$208,E156,'Lương năng suất'!$AQ$4:$AQ$208)</f>
        <v>-4800000</v>
      </c>
      <c r="AA156" s="213" t="str">
        <f>IFERROR(IF(ISNUMBER(SEARCH("TẶNG",VLOOKUP(E156,'Dự thu chiết khấu'!$L$3:$AV$226,37,0))),"TẶNG",""),"")</f>
        <v>TẶNG</v>
      </c>
      <c r="AB156" s="213" t="str">
        <f>IFERROR(IF(ISNUMBER(SEARCH("TẶNG",VLOOKUP(E156,'Dự thu chiết khấu'!$L$3:$AW$226,38,0))),"TẶNG",""),"")</f>
        <v/>
      </c>
      <c r="AC156" s="49">
        <f t="shared" si="19"/>
        <v>5522909.1818181798</v>
      </c>
      <c r="AD156" s="11">
        <f>IFERROR(VLOOKUP(E156,'Dự thu chiết khấu'!$L$3:$AM$226,28,0),0)</f>
        <v>0</v>
      </c>
      <c r="AE156" s="11">
        <f>IFERROR(VLOOKUP(E156,'Dự thu chiết khấu'!$L$3:$AN$226,29,0),0)</f>
        <v>0</v>
      </c>
      <c r="AF156" s="11">
        <f>IFERROR(VLOOKUP(E156,'Dự thu chiết khấu'!$L$3:$AO$226,30,0),0)</f>
        <v>0</v>
      </c>
    </row>
    <row r="157" spans="1:32">
      <c r="A157" s="11">
        <v>151</v>
      </c>
      <c r="B157" t="str">
        <f>IFERROR(INDEX('Dự thu chiết khấu'!$E:$E,MATCH(E157,'Dự thu chiết khấu'!$L:$L,0)),"")</f>
        <v>VŨ THỊ BÍCH HẰNG</v>
      </c>
      <c r="C157" s="51" t="str">
        <f>IFERROR(INDEX('Dự thu chiết khấu'!$F:$F,MATCH(E157,'Dự thu chiết khấu'!$L:$L,0)),"")</f>
        <v>ĐOÀN XUÂN TÌNH</v>
      </c>
      <c r="D157" s="4" t="str">
        <f>IFERROR(INDEX('Dự thu chiết khấu'!$H:$H,MATCH(E157,'Dự thu chiết khấu'!$L:$L,0)),"")</f>
        <v>LIMO GREEN</v>
      </c>
      <c r="E157" s="4" t="str">
        <f>'Dự thu chiết khấu'!L154</f>
        <v>RLLVFPNT3TH704785</v>
      </c>
      <c r="F157" s="5" t="s">
        <v>104</v>
      </c>
      <c r="G157" s="5" t="str" cm="1">
        <f t="array" ref="G157">IFERROR(INDEX('DT-GV'!$X$6:$X$213,MATCH(1,('DT-GV'!$H$6:$H$213=E157)*('DT-GV'!$R$6:$R$213&lt;&gt;0),0)),IFERROR(VLOOKUP(E157,'DT-GV'!$H$6:$X$213,17,0),""))</f>
        <v>SLKD</v>
      </c>
      <c r="H157" s="8" t="str">
        <f>VLOOKUP(E157,'Dự thu chiết khấu'!$L$3:$M$226,2,0)</f>
        <v>S11001</v>
      </c>
      <c r="I157">
        <v>1</v>
      </c>
      <c r="J157" s="11">
        <f>VLOOKUP(E157,'Dự thu chiết khấu'!$L$3:$P$226,5,0)</f>
        <v>749000000</v>
      </c>
      <c r="K157" s="12">
        <f t="shared" si="15"/>
        <v>44940000</v>
      </c>
      <c r="L157" s="12">
        <f t="shared" si="16"/>
        <v>0</v>
      </c>
      <c r="M157" s="13">
        <f>IFERROR(VLOOKUP(E157,'Dự thu chiết khấu'!$L$3:$R$226,7,0),0)</f>
        <v>0</v>
      </c>
      <c r="N157" s="14">
        <f>IFERROR(VLOOKUP(E157,'Dự thu chiết khấu'!$L$3:$S$226,8,0),0)</f>
        <v>0</v>
      </c>
      <c r="O157" s="11">
        <f>IF(IFERROR(VLOOKUP(E157,'Dự thu chiết khấu'!$L$3:$T$226,9,0),0)&gt;0,J157*$O$5,0)</f>
        <v>0</v>
      </c>
      <c r="P157" s="13">
        <f>IFERROR(VLOOKUP(E157,'Dự thu chiết khấu'!$L$3:$U$226,10,0),0)</f>
        <v>0</v>
      </c>
      <c r="Q157" s="12">
        <f>IFERROR(VLOOKUP(E157,'Dự thu chiết khấu'!$L$3:$V$226,11,0),0)</f>
        <v>0</v>
      </c>
      <c r="R157" s="12">
        <f>VLOOKUP($E157,'Dự thu chiết khấu'!$L$3:$W$226,12,0)</f>
        <v>12000000</v>
      </c>
      <c r="S157" s="12">
        <f t="shared" si="17"/>
        <v>629145454.5454545</v>
      </c>
      <c r="T157" s="11">
        <f t="shared" si="18"/>
        <v>-0.45454549789428711</v>
      </c>
      <c r="U157" s="15">
        <f>SUMIFS('DT-GV'!$N$6:$N$213,'DT-GV'!$H$6:$H$213,E157,'DT-GV'!$R$6:$R$213,"&lt;&gt;0")</f>
        <v>629145455</v>
      </c>
      <c r="V157" s="48">
        <f>SUMIFS('DT-GV'!$N$6:$N$213,'DT-GV'!$H$6:$H$213,E157,'DT-GV'!$R$6:$R$213,0)</f>
        <v>0</v>
      </c>
      <c r="W157" s="15">
        <f>-SUMIFS('DT-GV'!$R$6:$R$213,'DT-GV'!$H$6:$H$213,E157)</f>
        <v>-653672727</v>
      </c>
      <c r="X157" s="11">
        <f>IFERROR(VLOOKUP($E157,'Dự thu chiết khấu'!$L$3:$AK$226,26,0)/1.1,0)</f>
        <v>39220363.636363633</v>
      </c>
      <c r="Y157" s="11">
        <f>IFERROR(VLOOKUP($E157,'Dự thu chiết khấu'!$L$3:$BE$226,46,0)/1.1,0)</f>
        <v>0</v>
      </c>
      <c r="Z157" s="11">
        <f>-SUMIF('Lương năng suất'!$R$4:$R$208,E157,'Lương năng suất'!$AQ$4:$AQ$208)</f>
        <v>-9200000</v>
      </c>
      <c r="AA157" s="213" t="str">
        <f>IFERROR(IF(ISNUMBER(SEARCH("TẶNG",VLOOKUP(E157,'Dự thu chiết khấu'!$L$3:$AV$226,37,0))),"TẶNG",""),"")</f>
        <v/>
      </c>
      <c r="AB157" s="213" t="str">
        <f>IFERROR(IF(ISNUMBER(SEARCH("TẶNG",VLOOKUP(E157,'Dự thu chiết khấu'!$L$3:$AW$226,38,0))),"TẶNG",""),"")</f>
        <v/>
      </c>
      <c r="AC157" s="49">
        <f t="shared" si="19"/>
        <v>5493091.636363633</v>
      </c>
      <c r="AD157" s="11">
        <f>IFERROR(VLOOKUP(E157,'Dự thu chiết khấu'!$L$3:$AM$226,28,0),0)</f>
        <v>0</v>
      </c>
      <c r="AE157" s="11">
        <f>IFERROR(VLOOKUP(E157,'Dự thu chiết khấu'!$L$3:$AN$226,29,0),0)</f>
        <v>0</v>
      </c>
      <c r="AF157" s="11">
        <f>IFERROR(VLOOKUP(E157,'Dự thu chiết khấu'!$L$3:$AO$226,30,0),0)</f>
        <v>0</v>
      </c>
    </row>
    <row r="158" spans="1:32">
      <c r="A158">
        <v>152</v>
      </c>
      <c r="B158" t="str">
        <f>IFERROR(INDEX('Dự thu chiết khấu'!$E:$E,MATCH(E158,'Dự thu chiết khấu'!$L:$L,0)),"")</f>
        <v>TRẦN MINH HIẾU</v>
      </c>
      <c r="C158" s="51" t="str">
        <f>IFERROR(INDEX('Dự thu chiết khấu'!$F:$F,MATCH(E158,'Dự thu chiết khấu'!$L:$L,0)),"")</f>
        <v>LÊ THỊ MỸ TUYẾT</v>
      </c>
      <c r="D158" s="4" t="str">
        <f>IFERROR(INDEX('Dự thu chiết khấu'!$H:$H,MATCH(E158,'Dự thu chiết khấu'!$L:$L,0)),"")</f>
        <v>VF 3</v>
      </c>
      <c r="E158" s="4" t="str">
        <f>'Dự thu chiết khấu'!L155</f>
        <v>RLNVBL9K9TT717289</v>
      </c>
      <c r="F158" s="5" t="s">
        <v>104</v>
      </c>
      <c r="G158" s="5" t="str" cm="1">
        <f t="array" ref="G158">IFERROR(INDEX('DT-GV'!$X$6:$X$213,MATCH(1,('DT-GV'!$H$6:$H$213=E158)*('DT-GV'!$R$6:$R$213&lt;&gt;0),0)),IFERROR(VLOOKUP(E158,'DT-GV'!$H$6:$X$213,17,0),""))</f>
        <v>SLKD</v>
      </c>
      <c r="H158" s="7" t="str">
        <f>VLOOKUP(E158,'Dự thu chiết khấu'!$L$3:$M$226,2,0)</f>
        <v>S11001</v>
      </c>
      <c r="I158">
        <v>1</v>
      </c>
      <c r="J158" s="11">
        <f>VLOOKUP(E158,'Dự thu chiết khấu'!$L$3:$P$226,5,0)</f>
        <v>315000000</v>
      </c>
      <c r="K158" s="12">
        <f t="shared" si="15"/>
        <v>0</v>
      </c>
      <c r="L158" s="12">
        <f t="shared" si="16"/>
        <v>0</v>
      </c>
      <c r="M158" s="13">
        <f>IFERROR(VLOOKUP(E158,'Dự thu chiết khấu'!$L$3:$R$226,7,0),0)</f>
        <v>7.0000000000000007E-2</v>
      </c>
      <c r="N158" s="14">
        <f>IFERROR(VLOOKUP(E158,'Dự thu chiết khấu'!$L$3:$S$226,8,0),0)</f>
        <v>0</v>
      </c>
      <c r="O158" s="11">
        <f>IF(IFERROR(VLOOKUP(E158,'Dự thu chiết khấu'!$L$3:$T$226,9,0),0)&gt;0,J158*$O$5,0)</f>
        <v>0</v>
      </c>
      <c r="P158" s="13">
        <f>IFERROR(VLOOKUP(E158,'Dự thu chiết khấu'!$L$3:$U$226,10,0),0)</f>
        <v>0</v>
      </c>
      <c r="Q158" s="12">
        <f>IFERROR(VLOOKUP(E158,'Dự thu chiết khấu'!$L$3:$V$226,11,0),0)</f>
        <v>0</v>
      </c>
      <c r="R158" s="12">
        <f>VLOOKUP($E158,'Dự thu chiết khấu'!$L$3:$W$226,12,0)</f>
        <v>6000000</v>
      </c>
      <c r="S158" s="12">
        <f t="shared" si="17"/>
        <v>280909090.90909088</v>
      </c>
      <c r="T158" s="11">
        <f t="shared" si="18"/>
        <v>-9.0909123420715332E-2</v>
      </c>
      <c r="U158" s="15">
        <f>SUMIFS('DT-GV'!$N$6:$N$213,'DT-GV'!$H$6:$H$213,E158,'DT-GV'!$R$6:$R$213,"&lt;&gt;0")</f>
        <v>280909091</v>
      </c>
      <c r="V158" s="48">
        <f>SUMIFS('DT-GV'!$N$6:$N$213,'DT-GV'!$H$6:$H$213,E158,'DT-GV'!$R$6:$R$213,0)</f>
        <v>0</v>
      </c>
      <c r="W158" s="15">
        <f>-SUMIFS('DT-GV'!$R$6:$R$213,'DT-GV'!$H$6:$H$213,E158)</f>
        <v>-274909091</v>
      </c>
      <c r="X158" s="11">
        <f>IFERROR(VLOOKUP($E158,'Dự thu chiết khấu'!$L$3:$AK$226,26,0)/1.1,0)</f>
        <v>0</v>
      </c>
      <c r="Y158" s="11">
        <f>IFERROR(VLOOKUP($E158,'Dự thu chiết khấu'!$L$3:$BE$226,46,0)/1.1,0)</f>
        <v>0</v>
      </c>
      <c r="Z158" s="11">
        <f>-SUMIF('Lương năng suất'!$R$4:$R$208,E158,'Lương năng suất'!$AQ$4:$AQ$208)</f>
        <v>-1500000</v>
      </c>
      <c r="AA158" s="213" t="str">
        <f>IFERROR(IF(ISNUMBER(SEARCH("TẶNG",VLOOKUP(E158,'Dự thu chiết khấu'!$L$3:$AV$226,37,0))),"TẶNG",""),"")</f>
        <v/>
      </c>
      <c r="AB158" s="213" t="str">
        <f>IFERROR(IF(ISNUMBER(SEARCH("TẶNG",VLOOKUP(E158,'Dự thu chiết khấu'!$L$3:$AW$226,38,0))),"TẶNG",""),"")</f>
        <v/>
      </c>
      <c r="AC158" s="49">
        <f t="shared" si="19"/>
        <v>4500000</v>
      </c>
      <c r="AD158" s="11">
        <f>IFERROR(VLOOKUP(E158,'Dự thu chiết khấu'!$L$3:$AM$226,28,0),0)</f>
        <v>0</v>
      </c>
      <c r="AE158" s="11">
        <f>IFERROR(VLOOKUP(E158,'Dự thu chiết khấu'!$L$3:$AN$226,29,0),0)</f>
        <v>0</v>
      </c>
      <c r="AF158" s="11">
        <f>IFERROR(VLOOKUP(E158,'Dự thu chiết khấu'!$L$3:$AO$226,30,0),0)</f>
        <v>0</v>
      </c>
    </row>
    <row r="159" spans="1:32">
      <c r="A159" s="11">
        <v>153</v>
      </c>
      <c r="B159" t="str">
        <f>IFERROR(INDEX('Dự thu chiết khấu'!$E:$E,MATCH(E159,'Dự thu chiết khấu'!$L:$L,0)),"")</f>
        <v>Nguyễn Hữu Thanh Tú</v>
      </c>
      <c r="C159" s="51" t="str">
        <f>IFERROR(INDEX('Dự thu chiết khấu'!$F:$F,MATCH(E159,'Dự thu chiết khấu'!$L:$L,0)),"")</f>
        <v>TRẦN THỊ THANH KIỀU</v>
      </c>
      <c r="D159" s="4" t="str">
        <f>IFERROR(INDEX('Dự thu chiết khấu'!$H:$H,MATCH(E159,'Dự thu chiết khấu'!$L:$L,0)),"")</f>
        <v>MPV 7</v>
      </c>
      <c r="E159" s="4" t="str">
        <f>'Dự thu chiết khấu'!L156</f>
        <v>RLLVFPTT8TH740510</v>
      </c>
      <c r="F159" s="5" t="s">
        <v>112</v>
      </c>
      <c r="G159" s="5" t="str" cm="1">
        <f t="array" ref="G159">IFERROR(INDEX('DT-GV'!$X$6:$X$213,MATCH(1,('DT-GV'!$H$6:$H$213=E159)*('DT-GV'!$R$6:$R$213&lt;&gt;0),0)),IFERROR(VLOOKUP(E159,'DT-GV'!$H$6:$X$213,17,0),""))</f>
        <v>BLKD</v>
      </c>
      <c r="H159" s="8" t="str">
        <f>VLOOKUP(E159,'Dự thu chiết khấu'!$L$3:$M$226,2,0)</f>
        <v>S11006</v>
      </c>
      <c r="I159">
        <v>1</v>
      </c>
      <c r="J159" s="11">
        <f>VLOOKUP(E159,'Dự thu chiết khấu'!$L$3:$P$226,5,0)</f>
        <v>819000000</v>
      </c>
      <c r="K159" s="12">
        <f t="shared" si="15"/>
        <v>49140000</v>
      </c>
      <c r="L159" s="12">
        <f t="shared" si="16"/>
        <v>0</v>
      </c>
      <c r="M159" s="13">
        <f>IFERROR(VLOOKUP(E159,'Dự thu chiết khấu'!$L$3:$R$226,7,0),0)</f>
        <v>0</v>
      </c>
      <c r="N159" s="14">
        <f>IFERROR(VLOOKUP(E159,'Dự thu chiết khấu'!$L$3:$S$226,8,0),0)</f>
        <v>0</v>
      </c>
      <c r="O159" s="11">
        <f>IF(IFERROR(VLOOKUP(E159,'Dự thu chiết khấu'!$L$3:$T$226,9,0),0)&gt;0,J159*$O$5,0)</f>
        <v>24570000</v>
      </c>
      <c r="P159" s="13">
        <f>IFERROR(VLOOKUP(E159,'Dự thu chiết khấu'!$L$3:$U$226,10,0),0)</f>
        <v>0</v>
      </c>
      <c r="Q159" s="12">
        <f>IFERROR(VLOOKUP(E159,'Dự thu chiết khấu'!$L$3:$V$226,11,0),0)</f>
        <v>0</v>
      </c>
      <c r="R159" s="12">
        <f>VLOOKUP($E159,'Dự thu chiết khấu'!$L$3:$W$226,12,0)</f>
        <v>0</v>
      </c>
      <c r="S159" s="12">
        <f t="shared" si="17"/>
        <v>677536363.63636363</v>
      </c>
      <c r="T159" s="11">
        <f t="shared" si="18"/>
        <v>-0.36363637447357178</v>
      </c>
      <c r="U159" s="15">
        <f>SUMIFS('DT-GV'!$N$6:$N$213,'DT-GV'!$H$6:$H$213,E159,'DT-GV'!$R$6:$R$213,"&lt;&gt;0")</f>
        <v>677536364</v>
      </c>
      <c r="V159" s="48">
        <f>SUMIFS('DT-GV'!$N$6:$N$213,'DT-GV'!$H$6:$H$213,E159,'DT-GV'!$R$6:$R$213,0)</f>
        <v>0</v>
      </c>
      <c r="W159" s="15">
        <f>-SUMIFS('DT-GV'!$R$6:$R$213,'DT-GV'!$H$6:$H$213,E159)</f>
        <v>-714763636</v>
      </c>
      <c r="X159" s="11">
        <f>IFERROR(VLOOKUP($E159,'Dự thu chiết khấu'!$L$3:$AK$226,26,0)/1.1,0)</f>
        <v>64328727.272727266</v>
      </c>
      <c r="Y159" s="11">
        <f>IFERROR(VLOOKUP($E159,'Dự thu chiết khấu'!$L$3:$BE$226,46,0)/1.1,0)</f>
        <v>0</v>
      </c>
      <c r="Z159" s="11">
        <f>-SUMIF('Lương năng suất'!$R$4:$R$208,E159,'Lương năng suất'!$AQ$4:$AQ$208)</f>
        <v>-16000000</v>
      </c>
      <c r="AA159" s="213" t="str">
        <f>IFERROR(IF(ISNUMBER(SEARCH("TẶNG",VLOOKUP(E159,'Dự thu chiết khấu'!$L$3:$AV$226,37,0))),"TẶNG",""),"")</f>
        <v/>
      </c>
      <c r="AB159" s="213" t="str">
        <f>IFERROR(IF(ISNUMBER(SEARCH("TẶNG",VLOOKUP(E159,'Dự thu chiết khấu'!$L$3:$AW$226,38,0))),"TẶNG",""),"")</f>
        <v/>
      </c>
      <c r="AC159" s="49">
        <f t="shared" si="19"/>
        <v>11101455.272727266</v>
      </c>
      <c r="AD159" s="11">
        <f>IFERROR(VLOOKUP(E159,'Dự thu chiết khấu'!$L$3:$AM$226,28,0),0)</f>
        <v>15000000</v>
      </c>
      <c r="AE159" s="11">
        <f>IFERROR(VLOOKUP(E159,'Dự thu chiết khấu'!$L$3:$AN$226,29,0),0)</f>
        <v>0</v>
      </c>
      <c r="AF159" s="11">
        <f>IFERROR(VLOOKUP(E159,'Dự thu chiết khấu'!$L$3:$AO$226,30,0),0)</f>
        <v>0</v>
      </c>
    </row>
    <row r="160" spans="1:32">
      <c r="A160">
        <v>154</v>
      </c>
      <c r="B160" t="str">
        <f>IFERROR(INDEX('Dự thu chiết khấu'!$E:$E,MATCH(E160,'Dự thu chiết khấu'!$L:$L,0)),"")</f>
        <v>Bùi Minh Trung</v>
      </c>
      <c r="C160" s="51" t="str">
        <f>IFERROR(INDEX('Dự thu chiết khấu'!$F:$F,MATCH(E160,'Dự thu chiết khấu'!$L:$L,0)),"")</f>
        <v>NGUYỄN HOÀNG DỦ</v>
      </c>
      <c r="D160" s="4" t="str">
        <f>IFERROR(INDEX('Dự thu chiết khấu'!$H:$H,MATCH(E160,'Dự thu chiết khấu'!$L:$L,0)),"")</f>
        <v>MPV 7</v>
      </c>
      <c r="E160" s="4" t="str">
        <f>'Dự thu chiết khấu'!L157</f>
        <v>RLLVFPTT7TH732625</v>
      </c>
      <c r="F160" s="5" t="s">
        <v>112</v>
      </c>
      <c r="G160" s="5" t="str" cm="1">
        <f t="array" ref="G160">IFERROR(INDEX('DT-GV'!$X$6:$X$213,MATCH(1,('DT-GV'!$H$6:$H$213=E160)*('DT-GV'!$R$6:$R$213&lt;&gt;0),0)),IFERROR(VLOOKUP(E160,'DT-GV'!$H$6:$X$213,17,0),""))</f>
        <v>BLKD</v>
      </c>
      <c r="H160" s="7" t="str">
        <f>VLOOKUP(E160,'Dự thu chiết khấu'!$L$3:$M$226,2,0)</f>
        <v>S11006</v>
      </c>
      <c r="I160">
        <v>1</v>
      </c>
      <c r="J160" s="11">
        <f>VLOOKUP(E160,'Dự thu chiết khấu'!$L$3:$P$226,5,0)</f>
        <v>819000000</v>
      </c>
      <c r="K160" s="12">
        <f t="shared" si="15"/>
        <v>49140000</v>
      </c>
      <c r="L160" s="12">
        <f t="shared" si="16"/>
        <v>0</v>
      </c>
      <c r="M160" s="13">
        <f>IFERROR(VLOOKUP(E160,'Dự thu chiết khấu'!$L$3:$R$226,7,0),0)</f>
        <v>0</v>
      </c>
      <c r="N160" s="14">
        <f>IFERROR(VLOOKUP(E160,'Dự thu chiết khấu'!$L$3:$S$226,8,0),0)</f>
        <v>0</v>
      </c>
      <c r="O160" s="11">
        <f>IF(IFERROR(VLOOKUP(E160,'Dự thu chiết khấu'!$L$3:$T$226,9,0),0)&gt;0,J160*$O$5,0)</f>
        <v>0</v>
      </c>
      <c r="P160" s="13">
        <f>IFERROR(VLOOKUP(E160,'Dự thu chiết khấu'!$L$3:$U$226,10,0),0)</f>
        <v>0</v>
      </c>
      <c r="Q160" s="12">
        <f>IFERROR(VLOOKUP(E160,'Dự thu chiết khấu'!$L$3:$V$226,11,0),0)</f>
        <v>0</v>
      </c>
      <c r="R160" s="12">
        <f>VLOOKUP($E160,'Dự thu chiết khấu'!$L$3:$W$226,12,0)</f>
        <v>10000000</v>
      </c>
      <c r="S160" s="12">
        <f t="shared" si="17"/>
        <v>690781818.18181813</v>
      </c>
      <c r="T160" s="11">
        <f t="shared" si="18"/>
        <v>0.18181812763214111</v>
      </c>
      <c r="U160" s="15">
        <f>SUMIFS('DT-GV'!$N$6:$N$213,'DT-GV'!$H$6:$H$213,E160,'DT-GV'!$R$6:$R$213,"&lt;&gt;0")</f>
        <v>690781818</v>
      </c>
      <c r="V160" s="48">
        <f>SUMIFS('DT-GV'!$N$6:$N$213,'DT-GV'!$H$6:$H$213,E160,'DT-GV'!$R$6:$R$213,0)</f>
        <v>0</v>
      </c>
      <c r="W160" s="15">
        <f>-SUMIFS('DT-GV'!$R$6:$R$213,'DT-GV'!$H$6:$H$213,E160)</f>
        <v>-714763636</v>
      </c>
      <c r="X160" s="11">
        <f>IFERROR(VLOOKUP($E160,'Dự thu chiết khấu'!$L$3:$AK$226,26,0)/1.1,0)</f>
        <v>42885818.18181818</v>
      </c>
      <c r="Y160" s="11">
        <f>IFERROR(VLOOKUP($E160,'Dự thu chiết khấu'!$L$3:$BE$226,46,0)/1.1,0)</f>
        <v>0</v>
      </c>
      <c r="Z160" s="11">
        <f>-SUMIF('Lương năng suất'!$R$4:$R$208,E160,'Lương năng suất'!$AQ$4:$AQ$208)</f>
        <v>-8000000</v>
      </c>
      <c r="AA160" s="213" t="str">
        <f>IFERROR(IF(ISNUMBER(SEARCH("TẶNG",VLOOKUP(E160,'Dự thu chiết khấu'!$L$3:$AV$226,37,0))),"TẶNG",""),"")</f>
        <v>TẶNG</v>
      </c>
      <c r="AB160" s="213" t="str">
        <f>IFERROR(IF(ISNUMBER(SEARCH("TẶNG",VLOOKUP(E160,'Dự thu chiết khấu'!$L$3:$AW$226,38,0))),"TẶNG",""),"")</f>
        <v/>
      </c>
      <c r="AC160" s="49">
        <f t="shared" si="19"/>
        <v>10904000.18181818</v>
      </c>
      <c r="AD160" s="11">
        <f>IFERROR(VLOOKUP(E160,'Dự thu chiết khấu'!$L$3:$AM$226,28,0),0)</f>
        <v>15000000</v>
      </c>
      <c r="AE160" s="11">
        <f>IFERROR(VLOOKUP(E160,'Dự thu chiết khấu'!$L$3:$AN$226,29,0),0)</f>
        <v>0</v>
      </c>
      <c r="AF160" s="11">
        <f>IFERROR(VLOOKUP(E160,'Dự thu chiết khấu'!$L$3:$AO$226,30,0),0)</f>
        <v>0</v>
      </c>
    </row>
    <row r="161" spans="1:32" ht="23">
      <c r="A161" s="11">
        <v>155</v>
      </c>
      <c r="B161" t="str">
        <f>IFERROR(INDEX('Dự thu chiết khấu'!$E:$E,MATCH(E161,'Dự thu chiết khấu'!$L:$L,0)),"")</f>
        <v>Lê Thị Kiều My</v>
      </c>
      <c r="C161" s="51" t="str">
        <f>IFERROR(INDEX('Dự thu chiết khấu'!$F:$F,MATCH(E161,'Dự thu chiết khấu'!$L:$L,0)),"")</f>
        <v>CÔNG TY TNHH ĐẦU TƯ VÀ XÂY DỰNG PHÚC LONG</v>
      </c>
      <c r="D161" s="4" t="str">
        <f>IFERROR(INDEX('Dự thu chiết khấu'!$H:$H,MATCH(E161,'Dự thu chiết khấu'!$L:$L,0)),"")</f>
        <v>LIMO GREEN</v>
      </c>
      <c r="E161" s="4" t="str">
        <f>'Dự thu chiết khấu'!L158</f>
        <v>RLLVFPNT5TH713441</v>
      </c>
      <c r="F161" s="5" t="s">
        <v>112</v>
      </c>
      <c r="G161" s="5" t="str" cm="1">
        <f t="array" ref="G161">IFERROR(INDEX('DT-GV'!$X$6:$X$213,MATCH(1,('DT-GV'!$H$6:$H$213=E161)*('DT-GV'!$R$6:$R$213&lt;&gt;0),0)),IFERROR(VLOOKUP(E161,'DT-GV'!$H$6:$X$213,17,0),""))</f>
        <v>BLKD</v>
      </c>
      <c r="H161" s="6" t="str">
        <f>VLOOKUP(E161,'Dự thu chiết khấu'!$L$3:$M$226,2,0)</f>
        <v>S11007</v>
      </c>
      <c r="I161">
        <v>1</v>
      </c>
      <c r="J161" s="11">
        <f>VLOOKUP(E161,'Dự thu chiết khấu'!$L$3:$P$226,5,0)</f>
        <v>749000000</v>
      </c>
      <c r="K161" s="12">
        <f t="shared" si="15"/>
        <v>44940000</v>
      </c>
      <c r="L161" s="12">
        <f t="shared" si="16"/>
        <v>0</v>
      </c>
      <c r="M161" s="13">
        <f>IFERROR(VLOOKUP(E161,'Dự thu chiết khấu'!$L$3:$R$226,7,0),0)</f>
        <v>0</v>
      </c>
      <c r="N161" s="14">
        <f>IFERROR(VLOOKUP(E161,'Dự thu chiết khấu'!$L$3:$S$226,8,0),0)</f>
        <v>0</v>
      </c>
      <c r="O161" s="11">
        <f>IF(IFERROR(VLOOKUP(E161,'Dự thu chiết khấu'!$L$3:$T$226,9,0),0)&gt;0,J161*$O$5,0)</f>
        <v>22470000</v>
      </c>
      <c r="P161" s="13">
        <f>IFERROR(VLOOKUP(E161,'Dự thu chiết khấu'!$L$3:$U$226,10,0),0)</f>
        <v>0</v>
      </c>
      <c r="Q161" s="12">
        <f>IFERROR(VLOOKUP(E161,'Dự thu chiết khấu'!$L$3:$V$226,11,0),0)</f>
        <v>0</v>
      </c>
      <c r="R161" s="12">
        <f>VLOOKUP($E161,'Dự thu chiết khấu'!$L$3:$W$226,12,0)</f>
        <v>10000000</v>
      </c>
      <c r="S161" s="12">
        <f t="shared" si="17"/>
        <v>610536363.63636363</v>
      </c>
      <c r="T161" s="11">
        <f t="shared" si="18"/>
        <v>-0.36363637447357178</v>
      </c>
      <c r="U161" s="15">
        <f>SUMIFS('DT-GV'!$N$6:$N$213,'DT-GV'!$H$6:$H$213,E161,'DT-GV'!$R$6:$R$213,"&lt;&gt;0")</f>
        <v>610536364</v>
      </c>
      <c r="V161" s="48">
        <f>SUMIFS('DT-GV'!$N$6:$N$213,'DT-GV'!$H$6:$H$213,E161,'DT-GV'!$R$6:$R$213,0)</f>
        <v>0</v>
      </c>
      <c r="W161" s="15">
        <f>-SUMIFS('DT-GV'!$R$6:$R$213,'DT-GV'!$H$6:$H$213,E161)</f>
        <v>-653672727</v>
      </c>
      <c r="X161" s="11">
        <f>IFERROR(VLOOKUP($E161,'Dự thu chiết khấu'!$L$3:$AK$226,26,0)/1.1,0)</f>
        <v>58830545.454545453</v>
      </c>
      <c r="Y161" s="11">
        <f>IFERROR(VLOOKUP($E161,'Dự thu chiết khấu'!$L$3:$BE$226,46,0)/1.1,0)</f>
        <v>6196272.7272727266</v>
      </c>
      <c r="Z161" s="11">
        <f>-SUMIF('Lương năng suất'!$R$4:$R$208,E161,'Lương năng suất'!$AQ$4:$AQ$208)</f>
        <v>-10200000</v>
      </c>
      <c r="AA161" s="213" t="str">
        <f>IFERROR(IF(ISNUMBER(SEARCH("TẶNG",VLOOKUP(E161,'Dự thu chiết khấu'!$L$3:$AV$226,37,0))),"TẶNG",""),"")</f>
        <v/>
      </c>
      <c r="AB161" s="213" t="str">
        <f>IFERROR(IF(ISNUMBER(SEARCH("TẶNG",VLOOKUP(E161,'Dự thu chiết khấu'!$L$3:$AW$226,38,0))),"TẶNG",""),"")</f>
        <v/>
      </c>
      <c r="AC161" s="49">
        <f t="shared" si="19"/>
        <v>11690455.18181818</v>
      </c>
      <c r="AD161" s="11">
        <f>IFERROR(VLOOKUP(E161,'Dự thu chiết khấu'!$L$3:$AM$226,28,0),0)</f>
        <v>0</v>
      </c>
      <c r="AE161" s="11">
        <f>IFERROR(VLOOKUP(E161,'Dự thu chiết khấu'!$L$3:$AN$226,29,0),0)</f>
        <v>0</v>
      </c>
      <c r="AF161" s="11">
        <f>IFERROR(VLOOKUP(E161,'Dự thu chiết khấu'!$L$3:$AO$226,30,0),0)</f>
        <v>0</v>
      </c>
    </row>
    <row r="162" spans="1:32">
      <c r="A162">
        <v>156</v>
      </c>
      <c r="B162" t="str">
        <f>IFERROR(INDEX('Dự thu chiết khấu'!$E:$E,MATCH(E162,'Dự thu chiết khấu'!$L:$L,0)),"")</f>
        <v>Hoàng Ngọc Tú</v>
      </c>
      <c r="C162" s="51" t="str">
        <f>IFERROR(INDEX('Dự thu chiết khấu'!$F:$F,MATCH(E162,'Dự thu chiết khấu'!$L:$L,0)),"")</f>
        <v>NGUYỄN HỒ KIẾN VY</v>
      </c>
      <c r="D162" s="4" t="str">
        <f>IFERROR(INDEX('Dự thu chiết khấu'!$H:$H,MATCH(E162,'Dự thu chiết khấu'!$L:$L,0)),"")</f>
        <v>VF 3</v>
      </c>
      <c r="E162" s="4" t="str">
        <f>'Dự thu chiết khấu'!L159</f>
        <v>RLNVBL9K1TT712362</v>
      </c>
      <c r="F162" s="5" t="s">
        <v>112</v>
      </c>
      <c r="G162" s="5" t="str" cm="1">
        <f t="array" ref="G162">IFERROR(INDEX('DT-GV'!$X$6:$X$213,MATCH(1,('DT-GV'!$H$6:$H$213=E162)*('DT-GV'!$R$6:$R$213&lt;&gt;0),0)),IFERROR(VLOOKUP(E162,'DT-GV'!$H$6:$X$213,17,0),""))</f>
        <v>BLKD</v>
      </c>
      <c r="H162" s="6" t="str">
        <f>VLOOKUP(E162,'Dự thu chiết khấu'!$L$3:$M$226,2,0)</f>
        <v>S11007</v>
      </c>
      <c r="I162">
        <v>1</v>
      </c>
      <c r="J162" s="11">
        <f>VLOOKUP(E162,'Dự thu chiết khấu'!$L$3:$P$226,5,0)</f>
        <v>315000000</v>
      </c>
      <c r="K162" s="12">
        <f t="shared" si="15"/>
        <v>18900000</v>
      </c>
      <c r="L162" s="12">
        <f t="shared" si="16"/>
        <v>0</v>
      </c>
      <c r="M162" s="13">
        <f>IFERROR(VLOOKUP(E162,'Dự thu chiết khấu'!$L$3:$R$226,7,0),0)</f>
        <v>0</v>
      </c>
      <c r="N162" s="14">
        <f>IFERROR(VLOOKUP(E162,'Dự thu chiết khấu'!$L$3:$S$226,8,0),0)</f>
        <v>0</v>
      </c>
      <c r="O162" s="11">
        <f>IF(IFERROR(VLOOKUP(E162,'Dự thu chiết khấu'!$L$3:$T$226,9,0),0)&gt;0,J162*$O$5,0)</f>
        <v>9450000</v>
      </c>
      <c r="P162" s="13">
        <f>IFERROR(VLOOKUP(E162,'Dự thu chiết khấu'!$L$3:$U$226,10,0),0)</f>
        <v>0</v>
      </c>
      <c r="Q162" s="12">
        <f>IFERROR(VLOOKUP(E162,'Dự thu chiết khấu'!$L$3:$V$226,11,0),0)</f>
        <v>0</v>
      </c>
      <c r="R162" s="12">
        <f>VLOOKUP($E162,'Dự thu chiết khấu'!$L$3:$W$226,12,0)</f>
        <v>6000000</v>
      </c>
      <c r="S162" s="12">
        <f t="shared" si="17"/>
        <v>255136363.63636363</v>
      </c>
      <c r="T162" s="11">
        <f t="shared" si="18"/>
        <v>-0.36363637447357178</v>
      </c>
      <c r="U162" s="15">
        <f>SUMIFS('DT-GV'!$N$6:$N$213,'DT-GV'!$H$6:$H$213,E162,'DT-GV'!$R$6:$R$213,"&lt;&gt;0")</f>
        <v>255136364</v>
      </c>
      <c r="V162" s="48">
        <f>SUMIFS('DT-GV'!$N$6:$N$213,'DT-GV'!$H$6:$H$213,E162,'DT-GV'!$R$6:$R$213,0)</f>
        <v>0</v>
      </c>
      <c r="W162" s="15">
        <f>-SUMIFS('DT-GV'!$R$6:$R$213,'DT-GV'!$H$6:$H$213,E162)</f>
        <v>-274909091</v>
      </c>
      <c r="X162" s="11">
        <f>IFERROR(VLOOKUP($E162,'Dự thu chiết khấu'!$L$3:$AK$226,26,0)/1.1,0)</f>
        <v>24741818.18181818</v>
      </c>
      <c r="Y162" s="11">
        <f>IFERROR(VLOOKUP($E162,'Dự thu chiết khấu'!$L$3:$BE$226,46,0)/1.1,0)</f>
        <v>2605909.0909090908</v>
      </c>
      <c r="Z162" s="11">
        <f>-SUMIF('Lương năng suất'!$R$4:$R$208,E162,'Lương năng suất'!$AQ$4:$AQ$208)</f>
        <v>-1500000</v>
      </c>
      <c r="AA162" s="213" t="str">
        <f>IFERROR(IF(ISNUMBER(SEARCH("TẶNG",VLOOKUP(E162,'Dự thu chiết khấu'!$L$3:$AV$226,37,0))),"TẶNG",""),"")</f>
        <v/>
      </c>
      <c r="AB162" s="213" t="str">
        <f>IFERROR(IF(ISNUMBER(SEARCH("TẶNG",VLOOKUP(E162,'Dự thu chiết khấu'!$L$3:$AW$226,38,0))),"TẶNG",""),"")</f>
        <v/>
      </c>
      <c r="AC162" s="49">
        <f t="shared" si="19"/>
        <v>6075000.2727272706</v>
      </c>
      <c r="AD162" s="11">
        <f>IFERROR(VLOOKUP(E162,'Dự thu chiết khấu'!$L$3:$AM$226,28,0),0)</f>
        <v>0</v>
      </c>
      <c r="AE162" s="11">
        <f>IFERROR(VLOOKUP(E162,'Dự thu chiết khấu'!$L$3:$AN$226,29,0),0)</f>
        <v>0</v>
      </c>
      <c r="AF162" s="11">
        <f>IFERROR(VLOOKUP(E162,'Dự thu chiết khấu'!$L$3:$AO$226,30,0),0)</f>
        <v>5000000</v>
      </c>
    </row>
    <row r="163" spans="1:32">
      <c r="A163" s="11">
        <v>157</v>
      </c>
      <c r="B163" t="str">
        <f>IFERROR(INDEX('Dự thu chiết khấu'!$E:$E,MATCH(E163,'Dự thu chiết khấu'!$L:$L,0)),"")</f>
        <v>Hoàng Ngọc Tú</v>
      </c>
      <c r="C163" s="51" t="str">
        <f>IFERROR(INDEX('Dự thu chiết khấu'!$F:$F,MATCH(E163,'Dự thu chiết khấu'!$L:$L,0)),"")</f>
        <v>CHU VĂN TÂM</v>
      </c>
      <c r="D163" s="4" t="str">
        <f>IFERROR(INDEX('Dự thu chiết khấu'!$H:$H,MATCH(E163,'Dự thu chiết khấu'!$L:$L,0)),"")</f>
        <v>LIMO GREEN</v>
      </c>
      <c r="E163" s="4" t="str">
        <f>'Dự thu chiết khấu'!L160</f>
        <v>RLLVFPNT7TH742245</v>
      </c>
      <c r="F163" s="5" t="s">
        <v>112</v>
      </c>
      <c r="G163" s="5" t="str" cm="1">
        <f t="array" ref="G163">IFERROR(INDEX('DT-GV'!$X$6:$X$213,MATCH(1,('DT-GV'!$H$6:$H$213=E163)*('DT-GV'!$R$6:$R$213&lt;&gt;0),0)),IFERROR(VLOOKUP(E163,'DT-GV'!$H$6:$X$213,17,0),""))</f>
        <v>BLKD</v>
      </c>
      <c r="H163" s="6" t="str">
        <f>VLOOKUP(E163,'Dự thu chiết khấu'!$L$3:$M$226,2,0)</f>
        <v>S11006</v>
      </c>
      <c r="I163">
        <v>1</v>
      </c>
      <c r="J163" s="11">
        <f>VLOOKUP(E163,'Dự thu chiết khấu'!$L$3:$P$226,5,0)</f>
        <v>749000000</v>
      </c>
      <c r="K163" s="12">
        <f t="shared" si="15"/>
        <v>44940000</v>
      </c>
      <c r="L163" s="12">
        <f t="shared" si="16"/>
        <v>0</v>
      </c>
      <c r="M163" s="13">
        <f>IFERROR(VLOOKUP(E163,'Dự thu chiết khấu'!$L$3:$R$226,7,0),0)</f>
        <v>0</v>
      </c>
      <c r="N163" s="14">
        <f>IFERROR(VLOOKUP(E163,'Dự thu chiết khấu'!$L$3:$S$226,8,0),0)</f>
        <v>0</v>
      </c>
      <c r="O163" s="11">
        <f>IF(IFERROR(VLOOKUP(E163,'Dự thu chiết khấu'!$L$3:$T$226,9,0),0)&gt;0,J163*$O$5,0)</f>
        <v>22470000</v>
      </c>
      <c r="P163" s="13">
        <f>IFERROR(VLOOKUP(E163,'Dự thu chiết khấu'!$L$3:$U$226,10,0),0)</f>
        <v>0</v>
      </c>
      <c r="Q163" s="12">
        <f>IFERROR(VLOOKUP(E163,'Dự thu chiết khấu'!$L$3:$V$226,11,0),0)</f>
        <v>0</v>
      </c>
      <c r="R163" s="12">
        <f>VLOOKUP($E163,'Dự thu chiết khấu'!$L$3:$W$226,12,0)</f>
        <v>12000000</v>
      </c>
      <c r="S163" s="12">
        <f t="shared" si="17"/>
        <v>608718181.81818175</v>
      </c>
      <c r="T163" s="11">
        <f t="shared" si="18"/>
        <v>-0.18181824684143066</v>
      </c>
      <c r="U163" s="15">
        <f>SUMIFS('DT-GV'!$N$6:$N$213,'DT-GV'!$H$6:$H$213,E163,'DT-GV'!$R$6:$R$213,"&lt;&gt;0")</f>
        <v>608718182</v>
      </c>
      <c r="V163" s="48">
        <f>SUMIFS('DT-GV'!$N$6:$N$213,'DT-GV'!$H$6:$H$213,E163,'DT-GV'!$R$6:$R$213,0)</f>
        <v>0</v>
      </c>
      <c r="W163" s="15">
        <f>-SUMIFS('DT-GV'!$R$6:$R$213,'DT-GV'!$H$6:$H$213,E163)</f>
        <v>-653672727</v>
      </c>
      <c r="X163" s="11">
        <f>IFERROR(VLOOKUP($E163,'Dự thu chiết khấu'!$L$3:$AK$226,26,0)/1.1,0)</f>
        <v>58830545.454545453</v>
      </c>
      <c r="Y163" s="11">
        <f>IFERROR(VLOOKUP($E163,'Dự thu chiết khấu'!$L$3:$BE$226,46,0)/1.1,0)</f>
        <v>0</v>
      </c>
      <c r="Z163" s="11">
        <f>-SUMIF('Lương năng suất'!$R$4:$R$208,E163,'Lương năng suất'!$AQ$4:$AQ$208)</f>
        <v>-5600000</v>
      </c>
      <c r="AA163" s="213" t="str">
        <f>IFERROR(IF(ISNUMBER(SEARCH("TẶNG",VLOOKUP(E163,'Dự thu chiết khấu'!$L$3:$AV$226,37,0))),"TẶNG",""),"")</f>
        <v/>
      </c>
      <c r="AB163" s="213" t="str">
        <f>IFERROR(IF(ISNUMBER(SEARCH("TẶNG",VLOOKUP(E163,'Dự thu chiết khấu'!$L$3:$AW$226,38,0))),"TẶNG",""),"")</f>
        <v/>
      </c>
      <c r="AC163" s="49">
        <f t="shared" si="19"/>
        <v>8276000.4545454532</v>
      </c>
      <c r="AD163" s="11">
        <f>IFERROR(VLOOKUP(E163,'Dự thu chiết khấu'!$L$3:$AM$226,28,0),0)</f>
        <v>0</v>
      </c>
      <c r="AE163" s="11">
        <f>IFERROR(VLOOKUP(E163,'Dự thu chiết khấu'!$L$3:$AN$226,29,0),0)</f>
        <v>0</v>
      </c>
      <c r="AF163" s="11">
        <f>IFERROR(VLOOKUP(E163,'Dự thu chiết khấu'!$L$3:$AO$226,30,0),0)</f>
        <v>10000000</v>
      </c>
    </row>
    <row r="164" spans="1:32">
      <c r="A164">
        <v>158</v>
      </c>
      <c r="B164" t="str">
        <f>IFERROR(INDEX('Dự thu chiết khấu'!$E:$E,MATCH(E164,'Dự thu chiết khấu'!$L:$L,0)),"")</f>
        <v>Hoàng Ngọc Tú</v>
      </c>
      <c r="C164" s="51" t="str">
        <f>IFERROR(INDEX('Dự thu chiết khấu'!$F:$F,MATCH(E164,'Dự thu chiết khấu'!$L:$L,0)),"")</f>
        <v>LÊ NGỌC KIM QUYÊN</v>
      </c>
      <c r="D164" s="4" t="str">
        <f>IFERROR(INDEX('Dự thu chiết khấu'!$H:$H,MATCH(E164,'Dự thu chiết khấu'!$L:$L,0)),"")</f>
        <v>VF 3</v>
      </c>
      <c r="E164" s="4" t="str">
        <f>'Dự thu chiết khấu'!L161</f>
        <v>RLNVBL9K2TT701502</v>
      </c>
      <c r="F164" s="5" t="s">
        <v>112</v>
      </c>
      <c r="G164" s="5" t="str" cm="1">
        <f t="array" ref="G164">IFERROR(INDEX('DT-GV'!$X$6:$X$213,MATCH(1,('DT-GV'!$H$6:$H$213=E164)*('DT-GV'!$R$6:$R$213&lt;&gt;0),0)),IFERROR(VLOOKUP(E164,'DT-GV'!$H$6:$X$213,17,0),""))</f>
        <v>BLKD</v>
      </c>
      <c r="H164" s="6" t="str">
        <f>VLOOKUP(E164,'Dự thu chiết khấu'!$L$3:$M$226,2,0)</f>
        <v>S11007</v>
      </c>
      <c r="I164">
        <v>1</v>
      </c>
      <c r="J164" s="11">
        <f>VLOOKUP(E164,'Dự thu chiết khấu'!$L$3:$P$226,5,0)</f>
        <v>302000000</v>
      </c>
      <c r="K164" s="12">
        <f t="shared" si="15"/>
        <v>18120000</v>
      </c>
      <c r="L164" s="12">
        <f t="shared" si="16"/>
        <v>0</v>
      </c>
      <c r="M164" s="13">
        <f>IFERROR(VLOOKUP(E164,'Dự thu chiết khấu'!$L$3:$R$226,7,0),0)</f>
        <v>0</v>
      </c>
      <c r="N164" s="14">
        <f>IFERROR(VLOOKUP(E164,'Dự thu chiết khấu'!$L$3:$S$226,8,0),0)</f>
        <v>0</v>
      </c>
      <c r="O164" s="11">
        <f>IF(IFERROR(VLOOKUP(E164,'Dự thu chiết khấu'!$L$3:$T$226,9,0),0)&gt;0,J164*$O$5,0)</f>
        <v>9060000</v>
      </c>
      <c r="P164" s="13">
        <f>IFERROR(VLOOKUP(E164,'Dự thu chiết khấu'!$L$3:$U$226,10,0),0)</f>
        <v>0</v>
      </c>
      <c r="Q164" s="12">
        <f>IFERROR(VLOOKUP(E164,'Dự thu chiết khấu'!$L$3:$V$226,11,0),0)</f>
        <v>0</v>
      </c>
      <c r="R164" s="12">
        <f>VLOOKUP($E164,'Dự thu chiết khấu'!$L$3:$W$226,12,0)</f>
        <v>0</v>
      </c>
      <c r="S164" s="12">
        <f t="shared" si="17"/>
        <v>249836363.63636363</v>
      </c>
      <c r="T164" s="11">
        <f t="shared" si="18"/>
        <v>-0.36363637447357178</v>
      </c>
      <c r="U164" s="15">
        <f>SUMIFS('DT-GV'!$N$6:$N$213,'DT-GV'!$H$6:$H$213,E164,'DT-GV'!$R$6:$R$213,"&lt;&gt;0")</f>
        <v>249836364</v>
      </c>
      <c r="V164" s="48">
        <f>SUMIFS('DT-GV'!$N$6:$N$213,'DT-GV'!$H$6:$H$213,E164,'DT-GV'!$R$6:$R$213,0)</f>
        <v>0</v>
      </c>
      <c r="W164" s="15">
        <f>-SUMIFS('DT-GV'!$R$6:$R$213,'DT-GV'!$H$6:$H$213,E164)</f>
        <v>-263563636</v>
      </c>
      <c r="X164" s="11">
        <f>IFERROR(VLOOKUP($E164,'Dự thu chiết khấu'!$L$3:$AK$226,26,0)/1.1,0)</f>
        <v>23720727.27272727</v>
      </c>
      <c r="Y164" s="11">
        <f>IFERROR(VLOOKUP($E164,'Dự thu chiết khấu'!$L$3:$BE$226,46,0)/1.1,0)</f>
        <v>2498363.6363636362</v>
      </c>
      <c r="Z164" s="11">
        <f>-SUMIF('Lương năng suất'!$R$4:$R$208,E164,'Lương năng suất'!$AQ$4:$AQ$208)</f>
        <v>-6400000</v>
      </c>
      <c r="AA164" s="213" t="str">
        <f>IFERROR(IF(ISNUMBER(SEARCH("TẶNG",VLOOKUP(E164,'Dự thu chiết khấu'!$L$3:$AV$226,37,0))),"TẶNG",""),"")</f>
        <v>TẶNG</v>
      </c>
      <c r="AB164" s="213" t="str">
        <f>IFERROR(IF(ISNUMBER(SEARCH("TẶNG",VLOOKUP(E164,'Dự thu chiết khấu'!$L$3:$AW$226,38,0))),"TẶNG",""),"")</f>
        <v/>
      </c>
      <c r="AC164" s="49">
        <f t="shared" si="19"/>
        <v>6091818.9090909064</v>
      </c>
      <c r="AD164" s="11">
        <f>IFERROR(VLOOKUP(E164,'Dự thu chiết khấu'!$L$3:$AM$226,28,0),0)</f>
        <v>0</v>
      </c>
      <c r="AE164" s="11">
        <f>IFERROR(VLOOKUP(E164,'Dự thu chiết khấu'!$L$3:$AN$226,29,0),0)</f>
        <v>0</v>
      </c>
      <c r="AF164" s="11">
        <f>IFERROR(VLOOKUP(E164,'Dự thu chiết khấu'!$L$3:$AO$226,30,0),0)</f>
        <v>0</v>
      </c>
    </row>
    <row r="165" spans="1:32">
      <c r="A165" s="11">
        <v>159</v>
      </c>
      <c r="B165" t="str">
        <f>IFERROR(INDEX('Dự thu chiết khấu'!$E:$E,MATCH(E165,'Dự thu chiết khấu'!$L:$L,0)),"")</f>
        <v>Trương Hoàng Khả</v>
      </c>
      <c r="C165" s="51" t="str">
        <f>IFERROR(INDEX('Dự thu chiết khấu'!$F:$F,MATCH(E165,'Dự thu chiết khấu'!$L:$L,0)),"")</f>
        <v>TRẦN TRỌNG NGHĨA</v>
      </c>
      <c r="D165" s="4" t="str">
        <f>IFERROR(INDEX('Dự thu chiết khấu'!$H:$H,MATCH(E165,'Dự thu chiết khấu'!$L:$L,0)),"")</f>
        <v>VF 3</v>
      </c>
      <c r="E165" s="4" t="str">
        <f>'Dự thu chiết khấu'!L162</f>
        <v>RLNVBL9K3TT713934</v>
      </c>
      <c r="F165" s="5" t="s">
        <v>112</v>
      </c>
      <c r="G165" s="5" t="str" cm="1">
        <f t="array" ref="G165">IFERROR(INDEX('DT-GV'!$X$6:$X$213,MATCH(1,('DT-GV'!$H$6:$H$213=E165)*('DT-GV'!$R$6:$R$213&lt;&gt;0),0)),IFERROR(VLOOKUP(E165,'DT-GV'!$H$6:$X$213,17,0),""))</f>
        <v>BLKD</v>
      </c>
      <c r="H165" s="6" t="str">
        <f>VLOOKUP(E165,'Dự thu chiết khấu'!$L$3:$M$226,2,0)</f>
        <v>S11006</v>
      </c>
      <c r="I165">
        <v>1</v>
      </c>
      <c r="J165" s="11">
        <f>VLOOKUP(E165,'Dự thu chiết khấu'!$L$3:$P$226,5,0)</f>
        <v>315000000</v>
      </c>
      <c r="K165" s="12">
        <f t="shared" si="15"/>
        <v>18900000</v>
      </c>
      <c r="L165" s="12">
        <f t="shared" si="16"/>
        <v>0</v>
      </c>
      <c r="M165" s="13">
        <f>IFERROR(VLOOKUP(E165,'Dự thu chiết khấu'!$L$3:$R$226,7,0),0)</f>
        <v>0</v>
      </c>
      <c r="N165" s="14">
        <f>IFERROR(VLOOKUP(E165,'Dự thu chiết khấu'!$L$3:$S$226,8,0),0)</f>
        <v>0</v>
      </c>
      <c r="O165" s="11">
        <f>IF(IFERROR(VLOOKUP(E165,'Dự thu chiết khấu'!$L$3:$T$226,9,0),0)&gt;0,J165*$O$5,0)</f>
        <v>0</v>
      </c>
      <c r="P165" s="13">
        <f>IFERROR(VLOOKUP(E165,'Dự thu chiết khấu'!$L$3:$U$226,10,0),0)</f>
        <v>0</v>
      </c>
      <c r="Q165" s="12">
        <f>IFERROR(VLOOKUP(E165,'Dự thu chiết khấu'!$L$3:$V$226,11,0),0)</f>
        <v>0</v>
      </c>
      <c r="R165" s="12">
        <f>VLOOKUP($E165,'Dự thu chiết khấu'!$L$3:$W$226,12,0)</f>
        <v>0</v>
      </c>
      <c r="S165" s="12">
        <f t="shared" si="17"/>
        <v>269181818.18181819</v>
      </c>
      <c r="T165" s="11">
        <f t="shared" si="18"/>
        <v>0.18181818723678589</v>
      </c>
      <c r="U165" s="15">
        <f>SUMIFS('DT-GV'!$N$6:$N$213,'DT-GV'!$H$6:$H$213,E165,'DT-GV'!$R$6:$R$213,"&lt;&gt;0")</f>
        <v>269181818</v>
      </c>
      <c r="V165" s="48">
        <f>SUMIFS('DT-GV'!$N$6:$N$213,'DT-GV'!$H$6:$H$213,E165,'DT-GV'!$R$6:$R$213,0)</f>
        <v>0</v>
      </c>
      <c r="W165" s="15">
        <f>-SUMIFS('DT-GV'!$R$6:$R$213,'DT-GV'!$H$6:$H$213,E165)</f>
        <v>-274909091</v>
      </c>
      <c r="X165" s="11">
        <f>IFERROR(VLOOKUP($E165,'Dự thu chiết khấu'!$L$3:$AK$226,26,0)/1.1,0)</f>
        <v>16494545.454545453</v>
      </c>
      <c r="Y165" s="11">
        <f>IFERROR(VLOOKUP($E165,'Dự thu chiết khấu'!$L$3:$BE$226,46,0)/1.1,0)</f>
        <v>0</v>
      </c>
      <c r="Z165" s="11">
        <f>-SUMIF('Lương năng suất'!$R$4:$R$208,E165,'Lương năng suất'!$AQ$4:$AQ$208)</f>
        <v>-6800000</v>
      </c>
      <c r="AA165" s="213" t="str">
        <f>IFERROR(IF(ISNUMBER(SEARCH("TẶNG",VLOOKUP(E165,'Dự thu chiết khấu'!$L$3:$AV$226,37,0))),"TẶNG",""),"")</f>
        <v>TẶNG</v>
      </c>
      <c r="AB165" s="213" t="str">
        <f>IFERROR(IF(ISNUMBER(SEARCH("TẶNG",VLOOKUP(E165,'Dự thu chiết khấu'!$L$3:$AW$226,38,0))),"TẶNG",""),"")</f>
        <v/>
      </c>
      <c r="AC165" s="49">
        <f t="shared" si="19"/>
        <v>3967272.4545454532</v>
      </c>
      <c r="AD165" s="11">
        <f>IFERROR(VLOOKUP(E165,'Dự thu chiết khấu'!$L$3:$AM$226,28,0),0)</f>
        <v>0</v>
      </c>
      <c r="AE165" s="11">
        <f>IFERROR(VLOOKUP(E165,'Dự thu chiết khấu'!$L$3:$AN$226,29,0),0)</f>
        <v>0</v>
      </c>
      <c r="AF165" s="11">
        <f>IFERROR(VLOOKUP(E165,'Dự thu chiết khấu'!$L$3:$AO$226,30,0),0)</f>
        <v>0</v>
      </c>
    </row>
    <row r="166" spans="1:32">
      <c r="A166">
        <v>160</v>
      </c>
      <c r="B166" t="str">
        <f>IFERROR(INDEX('Dự thu chiết khấu'!$E:$E,MATCH(E166,'Dự thu chiết khấu'!$L:$L,0)),"")</f>
        <v>Bùi Minh Trung</v>
      </c>
      <c r="C166" s="51" t="str">
        <f>IFERROR(INDEX('Dự thu chiết khấu'!$F:$F,MATCH(E166,'Dự thu chiết khấu'!$L:$L,0)),"")</f>
        <v>LƯU MINH QUANG</v>
      </c>
      <c r="D166" s="4" t="str">
        <f>IFERROR(INDEX('Dự thu chiết khấu'!$H:$H,MATCH(E166,'Dự thu chiết khấu'!$L:$L,0)),"")</f>
        <v>VF 8</v>
      </c>
      <c r="E166" s="4" t="str">
        <f>'Dự thu chiết khấu'!L163</f>
        <v>RLLV1MTC8TH744263</v>
      </c>
      <c r="F166" s="5" t="s">
        <v>112</v>
      </c>
      <c r="G166" s="5" t="str" cm="1">
        <f t="array" ref="G166">IFERROR(INDEX('DT-GV'!$X$6:$X$213,MATCH(1,('DT-GV'!$H$6:$H$213=E166)*('DT-GV'!$R$6:$R$213&lt;&gt;0),0)),IFERROR(VLOOKUP(E166,'DT-GV'!$H$6:$X$213,17,0),""))</f>
        <v>BLKD</v>
      </c>
      <c r="H166" s="8" t="str">
        <f>VLOOKUP(E166,'Dự thu chiết khấu'!$L$3:$M$226,2,0)</f>
        <v>S11007</v>
      </c>
      <c r="I166">
        <v>1</v>
      </c>
      <c r="J166" s="11">
        <f>VLOOKUP(E166,'Dự thu chiết khấu'!$L$3:$P$226,5,0)</f>
        <v>1019000000</v>
      </c>
      <c r="K166" s="12">
        <f t="shared" si="15"/>
        <v>0</v>
      </c>
      <c r="L166" s="12">
        <f t="shared" si="16"/>
        <v>101900000</v>
      </c>
      <c r="M166" s="13">
        <f>IFERROR(VLOOKUP(E166,'Dự thu chiết khấu'!$L$3:$R$226,7,0),0)</f>
        <v>0</v>
      </c>
      <c r="N166" s="14">
        <f>IFERROR(VLOOKUP(E166,'Dự thu chiết khấu'!$L$3:$S$226,8,0),0)</f>
        <v>0</v>
      </c>
      <c r="O166" s="11">
        <f>IF(IFERROR(VLOOKUP(E166,'Dự thu chiết khấu'!$L$3:$T$226,9,0),0)&gt;0,J166*$O$5,0)</f>
        <v>30570000</v>
      </c>
      <c r="P166" s="13">
        <f>IFERROR(VLOOKUP(E166,'Dự thu chiết khấu'!$L$3:$U$226,10,0),0)</f>
        <v>0</v>
      </c>
      <c r="Q166" s="12">
        <f>IFERROR(VLOOKUP(E166,'Dự thu chiết khấu'!$L$3:$V$226,11,0),0)</f>
        <v>20000000</v>
      </c>
      <c r="R166" s="12">
        <f>VLOOKUP($E166,'Dự thu chiết khấu'!$L$3:$W$226,12,0)</f>
        <v>20000000</v>
      </c>
      <c r="S166" s="12">
        <f t="shared" si="17"/>
        <v>769572727.27272725</v>
      </c>
      <c r="T166" s="11">
        <f t="shared" si="18"/>
        <v>0.27272725105285645</v>
      </c>
      <c r="U166" s="15">
        <f>SUMIFS('DT-GV'!$N$6:$N$213,'DT-GV'!$H$6:$H$213,E166,'DT-GV'!$R$6:$R$213,"&lt;&gt;0")</f>
        <v>769572727</v>
      </c>
      <c r="V166" s="48">
        <f>SUMIFS('DT-GV'!$N$6:$N$213,'DT-GV'!$H$6:$H$213,E166,'DT-GV'!$R$6:$R$213,0)</f>
        <v>0</v>
      </c>
      <c r="W166" s="15">
        <f>-SUMIFS('DT-GV'!$R$6:$R$213,'DT-GV'!$H$6:$H$213,E166)</f>
        <v>-875413636</v>
      </c>
      <c r="X166" s="11">
        <f>IFERROR(VLOOKUP($E166,'Dự thu chiết khấu'!$L$3:$AK$226,26,0)/1.1,0)</f>
        <v>130985590.54545456</v>
      </c>
      <c r="Y166" s="11">
        <f>IFERROR(VLOOKUP($E166,'Dự thu chiết khấu'!$L$3:$BE$226,46,0)/1.1,0)</f>
        <v>7877545.4545454541</v>
      </c>
      <c r="Z166" s="11">
        <f>-SUMIF('Lương năng suất'!$R$4:$R$208,E166,'Lương năng suất'!$AQ$4:$AQ$208)</f>
        <v>-16000000</v>
      </c>
      <c r="AA166" s="213" t="str">
        <f>IFERROR(IF(ISNUMBER(SEARCH("TẶNG",VLOOKUP(E166,'Dự thu chiết khấu'!$L$3:$AV$226,37,0))),"TẶNG",""),"")</f>
        <v>TẶNG</v>
      </c>
      <c r="AB166" s="213" t="str">
        <f>IFERROR(IF(ISNUMBER(SEARCH("TẶNG",VLOOKUP(E166,'Dự thu chiết khấu'!$L$3:$AW$226,38,0))),"TẶNG",""),"")</f>
        <v/>
      </c>
      <c r="AC166" s="49">
        <f t="shared" si="19"/>
        <v>17022227.000000015</v>
      </c>
      <c r="AD166" s="11">
        <f>IFERROR(VLOOKUP(E166,'Dự thu chiết khấu'!$L$3:$AM$226,28,0),0)</f>
        <v>0</v>
      </c>
      <c r="AE166" s="11">
        <f>IFERROR(VLOOKUP(E166,'Dự thu chiết khấu'!$L$3:$AN$226,29,0),0)</f>
        <v>0</v>
      </c>
      <c r="AF166" s="11">
        <f>IFERROR(VLOOKUP(E166,'Dự thu chiết khấu'!$L$3:$AO$226,30,0),0)</f>
        <v>0</v>
      </c>
    </row>
    <row r="167" spans="1:32">
      <c r="A167" s="11">
        <v>161</v>
      </c>
      <c r="B167" t="str">
        <f>IFERROR(INDEX('Dự thu chiết khấu'!$E:$E,MATCH(E167,'Dự thu chiết khấu'!$L:$L,0)),"")</f>
        <v>Bùi Minh Trung</v>
      </c>
      <c r="C167" s="51" t="str">
        <f>IFERROR(INDEX('Dự thu chiết khấu'!$F:$F,MATCH(E167,'Dự thu chiết khấu'!$L:$L,0)),"")</f>
        <v>PHẠM VĂN HIỀN</v>
      </c>
      <c r="D167" s="4" t="str">
        <f>IFERROR(INDEX('Dự thu chiết khấu'!$H:$H,MATCH(E167,'Dự thu chiết khấu'!$L:$L,0)),"")</f>
        <v>VF 5</v>
      </c>
      <c r="E167" s="4" t="str">
        <f>'Dự thu chiết khấu'!L164</f>
        <v>RLNV5JSE8TH706884</v>
      </c>
      <c r="F167" s="5" t="s">
        <v>112</v>
      </c>
      <c r="G167" s="5" t="str" cm="1">
        <f t="array" ref="G167">IFERROR(INDEX('DT-GV'!$X$6:$X$213,MATCH(1,('DT-GV'!$H$6:$H$213=E167)*('DT-GV'!$R$6:$R$213&lt;&gt;0),0)),IFERROR(VLOOKUP(E167,'DT-GV'!$H$6:$X$213,17,0),""))</f>
        <v>BLKD</v>
      </c>
      <c r="H167" s="7" t="str">
        <f>VLOOKUP(E167,'Dự thu chiết khấu'!$L$3:$M$226,2,0)</f>
        <v>S11006</v>
      </c>
      <c r="I167">
        <v>1</v>
      </c>
      <c r="J167" s="11">
        <f>VLOOKUP(E167,'Dự thu chiết khấu'!$L$3:$P$226,5,0)</f>
        <v>529000000</v>
      </c>
      <c r="K167" s="12">
        <f t="shared" ref="K167:K198" si="20">IF(M167&gt;0,0,IF(OR(LEFT(SUBSTITUTE(UPPER(D167)," ",""),3)="VF8",LEFT(SUBSTITUTE(UPPER(D167)," ",""),3)="VF9"),0,J167*$K$5))</f>
        <v>31740000</v>
      </c>
      <c r="L167" s="12">
        <f t="shared" ref="L167:L198" si="21">IF(M167&gt;0,0,IF(OR(LEFT(SUBSTITUTE(UPPER(D167)," ",""),3)="VF8",LEFT(SUBSTITUTE(UPPER(D167)," ",""),3)="VF9"),J167*$L$5,0))</f>
        <v>0</v>
      </c>
      <c r="M167" s="13">
        <f>IFERROR(VLOOKUP(E167,'Dự thu chiết khấu'!$L$3:$R$226,7,0),0)</f>
        <v>0</v>
      </c>
      <c r="N167" s="14">
        <f>IFERROR(VLOOKUP(E167,'Dự thu chiết khấu'!$L$3:$S$226,8,0),0)</f>
        <v>0</v>
      </c>
      <c r="O167" s="11">
        <f>IF(IFERROR(VLOOKUP(E167,'Dự thu chiết khấu'!$L$3:$T$226,9,0),0)&gt;0,J167*$O$5,0)</f>
        <v>0</v>
      </c>
      <c r="P167" s="13">
        <f>IFERROR(VLOOKUP(E167,'Dự thu chiết khấu'!$L$3:$U$226,10,0),0)</f>
        <v>0</v>
      </c>
      <c r="Q167" s="12">
        <f>IFERROR(VLOOKUP(E167,'Dự thu chiết khấu'!$L$3:$V$226,11,0),0)</f>
        <v>0</v>
      </c>
      <c r="R167" s="12">
        <f>VLOOKUP($E167,'Dự thu chiết khấu'!$L$3:$W$226,12,0)</f>
        <v>8400000</v>
      </c>
      <c r="S167" s="12">
        <f t="shared" si="17"/>
        <v>444418181.81818175</v>
      </c>
      <c r="T167" s="11">
        <f t="shared" si="18"/>
        <v>-0.18181824684143066</v>
      </c>
      <c r="U167" s="15">
        <f>SUMIFS('DT-GV'!$N$6:$N$213,'DT-GV'!$H$6:$H$213,E167,'DT-GV'!$R$6:$R$213,"&lt;&gt;0")</f>
        <v>444418182</v>
      </c>
      <c r="V167" s="48">
        <f>SUMIFS('DT-GV'!$N$6:$N$213,'DT-GV'!$H$6:$H$213,E167,'DT-GV'!$R$6:$R$213,0)</f>
        <v>0</v>
      </c>
      <c r="W167" s="15">
        <f>-SUMIFS('DT-GV'!$R$6:$R$213,'DT-GV'!$H$6:$H$213,E167)</f>
        <v>-461672727</v>
      </c>
      <c r="X167" s="11">
        <f>IFERROR(VLOOKUP($E167,'Dự thu chiết khấu'!$L$3:$AK$226,26,0)/1.1,0)</f>
        <v>27700363.636363633</v>
      </c>
      <c r="Y167" s="11">
        <f>IFERROR(VLOOKUP($E167,'Dự thu chiết khấu'!$L$3:$BE$226,46,0)/1.1,0)</f>
        <v>0</v>
      </c>
      <c r="Z167" s="11">
        <f>-SUMIF('Lương năng suất'!$R$4:$R$208,E167,'Lương năng suất'!$AQ$4:$AQ$208)</f>
        <v>-4560000</v>
      </c>
      <c r="AA167" s="213" t="str">
        <f>IFERROR(IF(ISNUMBER(SEARCH("TẶNG",VLOOKUP(E167,'Dự thu chiết khấu'!$L$3:$AV$226,37,0))),"TẶNG",""),"")</f>
        <v>TẶNG</v>
      </c>
      <c r="AB167" s="213" t="str">
        <f>IFERROR(IF(ISNUMBER(SEARCH("TẶNG",VLOOKUP(E167,'Dự thu chiết khấu'!$L$3:$AW$226,38,0))),"TẶNG",""),"")</f>
        <v/>
      </c>
      <c r="AC167" s="49">
        <f t="shared" si="19"/>
        <v>5885818.636363633</v>
      </c>
      <c r="AD167" s="11">
        <f>IFERROR(VLOOKUP(E167,'Dự thu chiết khấu'!$L$3:$AM$226,28,0),0)</f>
        <v>0</v>
      </c>
      <c r="AE167" s="11">
        <f>IFERROR(VLOOKUP(E167,'Dự thu chiết khấu'!$L$3:$AN$226,29,0),0)</f>
        <v>0</v>
      </c>
      <c r="AF167" s="11">
        <f>IFERROR(VLOOKUP(E167,'Dự thu chiết khấu'!$L$3:$AO$226,30,0),0)</f>
        <v>7000000</v>
      </c>
    </row>
    <row r="168" spans="1:32">
      <c r="A168">
        <v>162</v>
      </c>
      <c r="B168" t="str">
        <f>IFERROR(INDEX('Dự thu chiết khấu'!$E:$E,MATCH(E168,'Dự thu chiết khấu'!$L:$L,0)),"")</f>
        <v>Trương Hoàng Khả</v>
      </c>
      <c r="C168" s="51" t="str">
        <f>IFERROR(INDEX('Dự thu chiết khấu'!$F:$F,MATCH(E168,'Dự thu chiết khấu'!$L:$L,0)),"")</f>
        <v>HUỲNH HỮU THỊNH</v>
      </c>
      <c r="D168" s="4" t="str">
        <f>IFERROR(INDEX('Dự thu chiết khấu'!$H:$H,MATCH(E168,'Dự thu chiết khấu'!$L:$L,0)),"")</f>
        <v>VF 6</v>
      </c>
      <c r="E168" s="4" t="str">
        <f>'Dự thu chiết khấu'!L165</f>
        <v>RLLVAG8C2TH740140</v>
      </c>
      <c r="F168" s="5" t="s">
        <v>112</v>
      </c>
      <c r="G168" s="5" t="str" cm="1">
        <f t="array" ref="G168">IFERROR(INDEX('DT-GV'!$X$6:$X$213,MATCH(1,('DT-GV'!$H$6:$H$213=E168)*('DT-GV'!$R$6:$R$213&lt;&gt;0),0)),IFERROR(VLOOKUP(E168,'DT-GV'!$H$6:$X$213,17,0),""))</f>
        <v>BLKD</v>
      </c>
      <c r="H168" s="7" t="str">
        <f>VLOOKUP(E168,'Dự thu chiết khấu'!$L$3:$M$226,2,0)</f>
        <v>S11001</v>
      </c>
      <c r="I168">
        <v>1</v>
      </c>
      <c r="J168" s="11">
        <f>VLOOKUP(E168,'Dự thu chiết khấu'!$L$3:$P$226,5,0)</f>
        <v>745000000</v>
      </c>
      <c r="K168" s="12">
        <f t="shared" si="20"/>
        <v>44700000</v>
      </c>
      <c r="L168" s="12">
        <f t="shared" si="21"/>
        <v>0</v>
      </c>
      <c r="M168" s="13">
        <f>IFERROR(VLOOKUP(E168,'Dự thu chiết khấu'!$L$3:$R$226,7,0),0)</f>
        <v>0</v>
      </c>
      <c r="N168" s="14">
        <f>IFERROR(VLOOKUP(E168,'Dự thu chiết khấu'!$L$3:$S$226,8,0),0)</f>
        <v>0</v>
      </c>
      <c r="O168" s="11">
        <f>IF(IFERROR(VLOOKUP(E168,'Dự thu chiết khấu'!$L$3:$T$226,9,0),0)&gt;0,J168*$O$5,0)</f>
        <v>22350000</v>
      </c>
      <c r="P168" s="13">
        <f>IFERROR(VLOOKUP(E168,'Dự thu chiết khấu'!$L$3:$U$226,10,0),0)</f>
        <v>0</v>
      </c>
      <c r="Q168" s="12">
        <f>IFERROR(VLOOKUP(E168,'Dự thu chiết khấu'!$L$3:$V$226,11,0),0)</f>
        <v>0</v>
      </c>
      <c r="R168" s="12">
        <f>VLOOKUP($E168,'Dự thu chiết khấu'!$L$3:$W$226,12,0)</f>
        <v>12000000</v>
      </c>
      <c r="S168" s="12">
        <f t="shared" si="17"/>
        <v>605409090.90909088</v>
      </c>
      <c r="T168" s="11">
        <f t="shared" si="18"/>
        <v>-9.0909123420715332E-2</v>
      </c>
      <c r="U168" s="15">
        <f>SUMIFS('DT-GV'!$N$6:$N$213,'DT-GV'!$H$6:$H$213,E168,'DT-GV'!$R$6:$R$213,"&lt;&gt;0")</f>
        <v>605409091</v>
      </c>
      <c r="V168" s="48">
        <f>SUMIFS('DT-GV'!$N$6:$N$213,'DT-GV'!$H$6:$H$213,E168,'DT-GV'!$R$6:$R$213,0)</f>
        <v>0</v>
      </c>
      <c r="W168" s="15">
        <f>-SUMIFS('DT-GV'!$R$6:$R$213,'DT-GV'!$H$6:$H$213,E168)</f>
        <v>-650181818</v>
      </c>
      <c r="X168" s="11">
        <f>IFERROR(VLOOKUP($E168,'Dự thu chiết khấu'!$L$3:$AK$226,26,0)/1.1,0)</f>
        <v>58516363.636363633</v>
      </c>
      <c r="Y168" s="11">
        <f>IFERROR(VLOOKUP($E168,'Dự thu chiết khấu'!$L$3:$BE$226,46,0)/1.1,0)</f>
        <v>0</v>
      </c>
      <c r="Z168" s="11">
        <f>-SUMIF('Lương năng suất'!$R$4:$R$208,E168,'Lương năng suất'!$AQ$4:$AQ$208)</f>
        <v>-4800000</v>
      </c>
      <c r="AA168" s="213" t="str">
        <f>IFERROR(IF(ISNUMBER(SEARCH("TẶNG",VLOOKUP(E168,'Dự thu chiết khấu'!$L$3:$AV$226,37,0))),"TẶNG",""),"")</f>
        <v>TẶNG</v>
      </c>
      <c r="AB168" s="213" t="str">
        <f>IFERROR(IF(ISNUMBER(SEARCH("TẶNG",VLOOKUP(E168,'Dự thu chiết khấu'!$L$3:$AW$226,38,0))),"TẶNG",""),"")</f>
        <v/>
      </c>
      <c r="AC168" s="49">
        <f t="shared" si="19"/>
        <v>8943636.636363633</v>
      </c>
      <c r="AD168" s="11">
        <f>IFERROR(VLOOKUP(E168,'Dự thu chiết khấu'!$L$3:$AM$226,28,0),0)</f>
        <v>0</v>
      </c>
      <c r="AE168" s="11">
        <f>IFERROR(VLOOKUP(E168,'Dự thu chiết khấu'!$L$3:$AN$226,29,0),0)</f>
        <v>0</v>
      </c>
      <c r="AF168" s="11">
        <f>IFERROR(VLOOKUP(E168,'Dự thu chiết khấu'!$L$3:$AO$226,30,0),0)</f>
        <v>10000000</v>
      </c>
    </row>
    <row r="169" spans="1:32">
      <c r="A169" s="11">
        <v>163</v>
      </c>
      <c r="B169" t="str">
        <f>IFERROR(INDEX('Dự thu chiết khấu'!$E:$E,MATCH(E169,'Dự thu chiết khấu'!$L:$L,0)),"")</f>
        <v>Trần Thanh Hoài</v>
      </c>
      <c r="C169" s="51" t="str">
        <f>IFERROR(INDEX('Dự thu chiết khấu'!$F:$F,MATCH(E169,'Dự thu chiết khấu'!$L:$L,0)),"")</f>
        <v>NGUYỄN QUỐC TRUNG</v>
      </c>
      <c r="D169" s="4" t="str">
        <f>IFERROR(INDEX('Dự thu chiết khấu'!$H:$H,MATCH(E169,'Dự thu chiết khấu'!$L:$L,0)),"")</f>
        <v>VF 3</v>
      </c>
      <c r="E169" s="4" t="str">
        <f>'Dự thu chiết khấu'!L166</f>
        <v>RLNVBL9K8TT715095</v>
      </c>
      <c r="F169" s="5" t="s">
        <v>112</v>
      </c>
      <c r="G169" s="5" t="str" cm="1">
        <f t="array" ref="G169">IFERROR(INDEX('DT-GV'!$X$6:$X$213,MATCH(1,('DT-GV'!$H$6:$H$213=E169)*('DT-GV'!$R$6:$R$213&lt;&gt;0),0)),IFERROR(VLOOKUP(E169,'DT-GV'!$H$6:$X$213,17,0),""))</f>
        <v>BLKD</v>
      </c>
      <c r="H169" s="8" t="str">
        <f>VLOOKUP(E169,'Dự thu chiết khấu'!$L$3:$M$226,2,0)</f>
        <v>S11001</v>
      </c>
      <c r="I169">
        <v>1</v>
      </c>
      <c r="J169" s="11">
        <f>VLOOKUP(E169,'Dự thu chiết khấu'!$L$3:$P$226,5,0)</f>
        <v>315000000</v>
      </c>
      <c r="K169" s="12">
        <f t="shared" si="20"/>
        <v>18900000</v>
      </c>
      <c r="L169" s="12">
        <f t="shared" si="21"/>
        <v>0</v>
      </c>
      <c r="M169" s="13">
        <f>IFERROR(VLOOKUP(E169,'Dự thu chiết khấu'!$L$3:$R$226,7,0),0)</f>
        <v>0</v>
      </c>
      <c r="N169" s="14">
        <f>IFERROR(VLOOKUP(E169,'Dự thu chiết khấu'!$L$3:$S$226,8,0),0)</f>
        <v>0</v>
      </c>
      <c r="O169" s="11">
        <f>IF(IFERROR(VLOOKUP(E169,'Dự thu chiết khấu'!$L$3:$T$226,9,0),0)&gt;0,J169*$O$5,0)</f>
        <v>0</v>
      </c>
      <c r="P169" s="13">
        <f>IFERROR(VLOOKUP(E169,'Dự thu chiết khấu'!$L$3:$U$226,10,0),0)</f>
        <v>0</v>
      </c>
      <c r="Q169" s="12">
        <f>IFERROR(VLOOKUP(E169,'Dự thu chiết khấu'!$L$3:$V$226,11,0),0)</f>
        <v>0</v>
      </c>
      <c r="R169" s="12">
        <f>VLOOKUP($E169,'Dự thu chiết khấu'!$L$3:$W$226,12,0)</f>
        <v>6000000</v>
      </c>
      <c r="S169" s="12">
        <f t="shared" si="17"/>
        <v>263727272.72727272</v>
      </c>
      <c r="T169" s="11">
        <f t="shared" si="18"/>
        <v>-0.27272728085517883</v>
      </c>
      <c r="U169" s="15">
        <f>SUMIFS('DT-GV'!$N$6:$N$213,'DT-GV'!$H$6:$H$213,E169,'DT-GV'!$R$6:$R$213,"&lt;&gt;0")</f>
        <v>263727273</v>
      </c>
      <c r="V169" s="48">
        <f>SUMIFS('DT-GV'!$N$6:$N$213,'DT-GV'!$H$6:$H$213,E169,'DT-GV'!$R$6:$R$213,0)</f>
        <v>0</v>
      </c>
      <c r="W169" s="15">
        <f>-SUMIFS('DT-GV'!$R$6:$R$213,'DT-GV'!$H$6:$H$213,E169)</f>
        <v>-274909091</v>
      </c>
      <c r="X169" s="11">
        <f>IFERROR(VLOOKUP($E169,'Dự thu chiết khấu'!$L$3:$AK$226,26,0)/1.1,0)</f>
        <v>16494545.454545453</v>
      </c>
      <c r="Y169" s="11">
        <f>IFERROR(VLOOKUP($E169,'Dự thu chiết khấu'!$L$3:$BE$226,46,0)/1.1,0)</f>
        <v>0</v>
      </c>
      <c r="Z169" s="11">
        <f>-SUMIF('Lương năng suất'!$R$4:$R$208,E169,'Lương năng suất'!$AQ$4:$AQ$208)</f>
        <v>-2000000</v>
      </c>
      <c r="AA169" s="213" t="str">
        <f>IFERROR(IF(ISNUMBER(SEARCH("TẶNG",VLOOKUP(E169,'Dự thu chiết khấu'!$L$3:$AV$226,37,0))),"TẶNG",""),"")</f>
        <v/>
      </c>
      <c r="AB169" s="213" t="str">
        <f>IFERROR(IF(ISNUMBER(SEARCH("TẶNG",VLOOKUP(E169,'Dự thu chiết khấu'!$L$3:$AW$226,38,0))),"TẶNG",""),"")</f>
        <v/>
      </c>
      <c r="AC169" s="49">
        <f t="shared" si="19"/>
        <v>3312727.4545454532</v>
      </c>
      <c r="AD169" s="11">
        <f>IFERROR(VLOOKUP(E169,'Dự thu chiết khấu'!$L$3:$AM$226,28,0),0)</f>
        <v>0</v>
      </c>
      <c r="AE169" s="11">
        <f>IFERROR(VLOOKUP(E169,'Dự thu chiết khấu'!$L$3:$AN$226,29,0),0)</f>
        <v>0</v>
      </c>
      <c r="AF169" s="11">
        <f>IFERROR(VLOOKUP(E169,'Dự thu chiết khấu'!$L$3:$AO$226,30,0),0)</f>
        <v>0</v>
      </c>
    </row>
    <row r="170" spans="1:32">
      <c r="A170">
        <v>164</v>
      </c>
      <c r="B170" t="str">
        <f>IFERROR(INDEX('Dự thu chiết khấu'!$E:$E,MATCH(E170,'Dự thu chiết khấu'!$L:$L,0)),"")</f>
        <v>Bùi Minh Trung</v>
      </c>
      <c r="C170" s="51" t="str">
        <f>IFERROR(INDEX('Dự thu chiết khấu'!$F:$F,MATCH(E170,'Dự thu chiết khấu'!$L:$L,0)),"")</f>
        <v>NGUYỄN KHÁNH MINH</v>
      </c>
      <c r="D170" s="4" t="str">
        <f>IFERROR(INDEX('Dự thu chiết khấu'!$H:$H,MATCH(E170,'Dự thu chiết khấu'!$L:$L,0)),"")</f>
        <v>VF 7</v>
      </c>
      <c r="E170" s="4" t="str">
        <f>'Dự thu chiết khấu'!L167</f>
        <v>RLLV3EKB3TH728402</v>
      </c>
      <c r="F170" s="5" t="s">
        <v>112</v>
      </c>
      <c r="G170" s="5" t="str" cm="1">
        <f t="array" ref="G170">IFERROR(INDEX('DT-GV'!$X$6:$X$213,MATCH(1,('DT-GV'!$H$6:$H$213=E170)*('DT-GV'!$R$6:$R$213&lt;&gt;0),0)),IFERROR(VLOOKUP(E170,'DT-GV'!$H$6:$X$213,17,0),""))</f>
        <v>BLKD</v>
      </c>
      <c r="H170" s="8" t="str">
        <f>VLOOKUP(E170,'Dự thu chiết khấu'!$L$3:$M$226,2,0)</f>
        <v>S11007</v>
      </c>
      <c r="I170">
        <v>1</v>
      </c>
      <c r="J170" s="11">
        <f>VLOOKUP(E170,'Dự thu chiết khấu'!$L$3:$P$226,5,0)</f>
        <v>939000000</v>
      </c>
      <c r="K170" s="12">
        <f t="shared" si="20"/>
        <v>56340000</v>
      </c>
      <c r="L170" s="12">
        <f t="shared" si="21"/>
        <v>0</v>
      </c>
      <c r="M170" s="13">
        <f>IFERROR(VLOOKUP(E170,'Dự thu chiết khấu'!$L$3:$R$226,7,0),0)</f>
        <v>0</v>
      </c>
      <c r="N170" s="14">
        <f>IFERROR(VLOOKUP(E170,'Dự thu chiết khấu'!$L$3:$S$226,8,0),0)</f>
        <v>0</v>
      </c>
      <c r="O170" s="11">
        <f>IF(IFERROR(VLOOKUP(E170,'Dự thu chiết khấu'!$L$3:$T$226,9,0),0)&gt;0,J170*$O$5,0)</f>
        <v>28170000</v>
      </c>
      <c r="P170" s="13">
        <f>IFERROR(VLOOKUP(E170,'Dự thu chiết khấu'!$L$3:$U$226,10,0),0)</f>
        <v>0</v>
      </c>
      <c r="Q170" s="12">
        <f>IFERROR(VLOOKUP(E170,'Dự thu chiết khấu'!$L$3:$V$226,11,0),0)</f>
        <v>0</v>
      </c>
      <c r="R170" s="12">
        <f>VLOOKUP($E170,'Dự thu chiết khấu'!$L$3:$W$226,12,0)</f>
        <v>10000000</v>
      </c>
      <c r="S170" s="12">
        <f t="shared" si="17"/>
        <v>767718181.81818175</v>
      </c>
      <c r="T170" s="11">
        <f t="shared" si="18"/>
        <v>-0.18181824684143066</v>
      </c>
      <c r="U170" s="15">
        <f>SUMIFS('DT-GV'!$N$6:$N$213,'DT-GV'!$H$6:$H$213,E170,'DT-GV'!$R$6:$R$213,"&lt;&gt;0")</f>
        <v>767718182</v>
      </c>
      <c r="V170" s="48">
        <f>SUMIFS('DT-GV'!$N$6:$N$213,'DT-GV'!$H$6:$H$213,E170,'DT-GV'!$R$6:$R$213,0)</f>
        <v>0</v>
      </c>
      <c r="W170" s="15">
        <f>-SUMIFS('DT-GV'!$R$6:$R$213,'DT-GV'!$H$6:$H$213,E170)</f>
        <v>-815222727</v>
      </c>
      <c r="X170" s="11">
        <f>IFERROR(VLOOKUP($E170,'Dự thu chiết khấu'!$L$3:$AK$226,26,0)/1.1,0)</f>
        <v>73370045.454545453</v>
      </c>
      <c r="Y170" s="11">
        <f>IFERROR(VLOOKUP($E170,'Dự thu chiết khấu'!$L$3:$BE$226,46,0)/1.1,0)</f>
        <v>7768090.9090909082</v>
      </c>
      <c r="Z170" s="11">
        <f>-SUMIF('Lương năng suất'!$R$4:$R$208,E170,'Lương năng suất'!$AQ$4:$AQ$208)</f>
        <v>-10800000</v>
      </c>
      <c r="AA170" s="213" t="str">
        <f>IFERROR(IF(ISNUMBER(SEARCH("TẶNG",VLOOKUP(E170,'Dự thu chiết khấu'!$L$3:$AV$226,37,0))),"TẶNG",""),"")</f>
        <v>TẶNG</v>
      </c>
      <c r="AB170" s="213" t="str">
        <f>IFERROR(IF(ISNUMBER(SEARCH("TẶNG",VLOOKUP(E170,'Dự thu chiết khấu'!$L$3:$AW$226,38,0))),"TẶNG",""),"")</f>
        <v/>
      </c>
      <c r="AC170" s="49">
        <f t="shared" si="19"/>
        <v>22833591.36363636</v>
      </c>
      <c r="AD170" s="11">
        <f>IFERROR(VLOOKUP(E170,'Dự thu chiết khấu'!$L$3:$AM$226,28,0),0)</f>
        <v>0</v>
      </c>
      <c r="AE170" s="11">
        <f>IFERROR(VLOOKUP(E170,'Dự thu chiết khấu'!$L$3:$AN$226,29,0),0)</f>
        <v>0</v>
      </c>
      <c r="AF170" s="11">
        <f>IFERROR(VLOOKUP(E170,'Dự thu chiết khấu'!$L$3:$AO$226,30,0),0)</f>
        <v>15000000</v>
      </c>
    </row>
    <row r="171" spans="1:32">
      <c r="A171" s="11">
        <v>165</v>
      </c>
      <c r="B171" t="str">
        <f>IFERROR(INDEX('Dự thu chiết khấu'!$E:$E,MATCH(E171,'Dự thu chiết khấu'!$L:$L,0)),"")</f>
        <v>Bùi Minh Trung</v>
      </c>
      <c r="C171" s="51" t="str">
        <f>IFERROR(INDEX('Dự thu chiết khấu'!$F:$F,MATCH(E171,'Dự thu chiết khấu'!$L:$L,0)),"")</f>
        <v>NGUYỄN THỊ NGỌC NGÂN</v>
      </c>
      <c r="D171" s="4" t="str">
        <f>IFERROR(INDEX('Dự thu chiết khấu'!$H:$H,MATCH(E171,'Dự thu chiết khấu'!$L:$L,0)),"")</f>
        <v>VF 3</v>
      </c>
      <c r="E171" s="4" t="str">
        <f>'Dự thu chiết khấu'!L168</f>
        <v>RLNVBL9K4TT716387</v>
      </c>
      <c r="F171" s="5" t="s">
        <v>112</v>
      </c>
      <c r="G171" s="5" t="str" cm="1">
        <f t="array" ref="G171">IFERROR(INDEX('DT-GV'!$X$6:$X$213,MATCH(1,('DT-GV'!$H$6:$H$213=E171)*('DT-GV'!$R$6:$R$213&lt;&gt;0),0)),IFERROR(VLOOKUP(E171,'DT-GV'!$H$6:$X$213,17,0),""))</f>
        <v>BLKD</v>
      </c>
      <c r="H171" s="6" t="str">
        <f>VLOOKUP(E171,'Dự thu chiết khấu'!$L$3:$M$226,2,0)</f>
        <v>S11006</v>
      </c>
      <c r="I171">
        <v>1</v>
      </c>
      <c r="J171" s="11">
        <f>VLOOKUP(E171,'Dự thu chiết khấu'!$L$3:$P$226,5,0)</f>
        <v>323000000</v>
      </c>
      <c r="K171" s="12">
        <f t="shared" si="20"/>
        <v>19380000</v>
      </c>
      <c r="L171" s="12">
        <f t="shared" si="21"/>
        <v>0</v>
      </c>
      <c r="M171" s="13">
        <f>IFERROR(VLOOKUP(E171,'Dự thu chiết khấu'!$L$3:$R$226,7,0),0)</f>
        <v>0</v>
      </c>
      <c r="N171" s="14">
        <f>IFERROR(VLOOKUP(E171,'Dự thu chiết khấu'!$L$3:$S$226,8,0),0)</f>
        <v>0</v>
      </c>
      <c r="O171" s="11">
        <f>IF(IFERROR(VLOOKUP(E171,'Dự thu chiết khấu'!$L$3:$T$226,9,0),0)&gt;0,J171*$O$5,0)</f>
        <v>9690000</v>
      </c>
      <c r="P171" s="13">
        <f>IFERROR(VLOOKUP(E171,'Dự thu chiết khấu'!$L$3:$U$226,10,0),0)</f>
        <v>0</v>
      </c>
      <c r="Q171" s="12">
        <f>IFERROR(VLOOKUP(E171,'Dự thu chiết khấu'!$L$3:$V$226,11,0),0)</f>
        <v>0</v>
      </c>
      <c r="R171" s="12">
        <f>VLOOKUP($E171,'Dự thu chiết khấu'!$L$3:$W$226,12,0)</f>
        <v>6000000</v>
      </c>
      <c r="S171" s="12">
        <f t="shared" si="17"/>
        <v>261754545.45454544</v>
      </c>
      <c r="T171" s="11">
        <f t="shared" si="18"/>
        <v>0.45454543828964233</v>
      </c>
      <c r="U171" s="15">
        <f>SUMIFS('DT-GV'!$N$6:$N$213,'DT-GV'!$H$6:$H$213,E171,'DT-GV'!$R$6:$R$213,"&lt;&gt;0")</f>
        <v>261754545</v>
      </c>
      <c r="V171" s="48">
        <f>SUMIFS('DT-GV'!$N$6:$N$213,'DT-GV'!$H$6:$H$213,E171,'DT-GV'!$R$6:$R$213,0)</f>
        <v>0</v>
      </c>
      <c r="W171" s="15">
        <f>-SUMIFS('DT-GV'!$R$6:$R$213,'DT-GV'!$H$6:$H$213,E171)</f>
        <v>-281890909</v>
      </c>
      <c r="X171" s="11">
        <f>IFERROR(VLOOKUP($E171,'Dự thu chiết khấu'!$L$3:$AK$226,26,0)/1.1,0)</f>
        <v>25370181.818181816</v>
      </c>
      <c r="Y171" s="11">
        <f>IFERROR(VLOOKUP($E171,'Dự thu chiết khấu'!$L$3:$BE$226,46,0)/1.1,0)</f>
        <v>0</v>
      </c>
      <c r="Z171" s="11">
        <f>-SUMIF('Lương năng suất'!$R$4:$R$208,E171,'Lương năng suất'!$AQ$4:$AQ$208)</f>
        <v>-1500000</v>
      </c>
      <c r="AA171" s="213" t="str">
        <f>IFERROR(IF(ISNUMBER(SEARCH("TẶNG",VLOOKUP(E171,'Dự thu chiết khấu'!$L$3:$AV$226,37,0))),"TẶNG",""),"")</f>
        <v>TẶNG</v>
      </c>
      <c r="AB171" s="213" t="str">
        <f>IFERROR(IF(ISNUMBER(SEARCH("TẶNG",VLOOKUP(E171,'Dự thu chiết khấu'!$L$3:$AW$226,38,0))),"TẶNG",""),"")</f>
        <v/>
      </c>
      <c r="AC171" s="49">
        <f t="shared" si="19"/>
        <v>3733817.8181818165</v>
      </c>
      <c r="AD171" s="11">
        <f>IFERROR(VLOOKUP(E171,'Dự thu chiết khấu'!$L$3:$AM$226,28,0),0)</f>
        <v>0</v>
      </c>
      <c r="AE171" s="11">
        <f>IFERROR(VLOOKUP(E171,'Dự thu chiết khấu'!$L$3:$AN$226,29,0),0)</f>
        <v>0</v>
      </c>
      <c r="AF171" s="11">
        <f>IFERROR(VLOOKUP(E171,'Dự thu chiết khấu'!$L$3:$AO$226,30,0),0)</f>
        <v>0</v>
      </c>
    </row>
    <row r="172" spans="1:32">
      <c r="A172">
        <v>166</v>
      </c>
      <c r="B172" t="str">
        <f>IFERROR(INDEX('Dự thu chiết khấu'!$E:$E,MATCH(E172,'Dự thu chiết khấu'!$L:$L,0)),"")</f>
        <v>Trần Thanh Hoài</v>
      </c>
      <c r="C172" s="51" t="str">
        <f>IFERROR(INDEX('Dự thu chiết khấu'!$F:$F,MATCH(E172,'Dự thu chiết khấu'!$L:$L,0)),"")</f>
        <v>NGUYỄN HOÀI NAM</v>
      </c>
      <c r="D172" s="4" t="str">
        <f>IFERROR(INDEX('Dự thu chiết khấu'!$H:$H,MATCH(E172,'Dự thu chiết khấu'!$L:$L,0)),"")</f>
        <v>VF 5</v>
      </c>
      <c r="E172" s="4" t="str">
        <f>'Dự thu chiết khấu'!L169</f>
        <v>RLNV5JSE4TH717266</v>
      </c>
      <c r="F172" s="5" t="s">
        <v>112</v>
      </c>
      <c r="G172" s="5" t="str" cm="1">
        <f t="array" ref="G172">IFERROR(INDEX('DT-GV'!$X$6:$X$213,MATCH(1,('DT-GV'!$H$6:$H$213=E172)*('DT-GV'!$R$6:$R$213&lt;&gt;0),0)),IFERROR(VLOOKUP(E172,'DT-GV'!$H$6:$X$213,17,0),""))</f>
        <v>BLKD</v>
      </c>
      <c r="H172" s="6" t="str">
        <f>VLOOKUP(E172,'Dự thu chiết khấu'!$L$3:$M$226,2,0)</f>
        <v>S11006</v>
      </c>
      <c r="I172">
        <v>1</v>
      </c>
      <c r="J172" s="11">
        <f>VLOOKUP(E172,'Dự thu chiết khấu'!$L$3:$P$226,5,0)</f>
        <v>529000000</v>
      </c>
      <c r="K172" s="12">
        <f t="shared" si="20"/>
        <v>31740000</v>
      </c>
      <c r="L172" s="12">
        <f t="shared" si="21"/>
        <v>0</v>
      </c>
      <c r="M172" s="13">
        <f>IFERROR(VLOOKUP(E172,'Dự thu chiết khấu'!$L$3:$R$226,7,0),0)</f>
        <v>0</v>
      </c>
      <c r="N172" s="14">
        <f>IFERROR(VLOOKUP(E172,'Dự thu chiết khấu'!$L$3:$S$226,8,0),0)</f>
        <v>0</v>
      </c>
      <c r="O172" s="11">
        <f>IF(IFERROR(VLOOKUP(E172,'Dự thu chiết khấu'!$L$3:$T$226,9,0),0)&gt;0,J172*$O$5,0)</f>
        <v>0</v>
      </c>
      <c r="P172" s="13">
        <f>IFERROR(VLOOKUP(E172,'Dự thu chiết khấu'!$L$3:$U$226,10,0),0)</f>
        <v>0</v>
      </c>
      <c r="Q172" s="12">
        <f>IFERROR(VLOOKUP(E172,'Dự thu chiết khấu'!$L$3:$V$226,11,0),0)</f>
        <v>0</v>
      </c>
      <c r="R172" s="12">
        <f>VLOOKUP($E172,'Dự thu chiết khấu'!$L$3:$W$226,12,0)</f>
        <v>0</v>
      </c>
      <c r="S172" s="12">
        <f t="shared" si="17"/>
        <v>452054545.45454544</v>
      </c>
      <c r="T172" s="11">
        <f t="shared" si="18"/>
        <v>0.45454543828964233</v>
      </c>
      <c r="U172" s="15">
        <f>SUMIFS('DT-GV'!$N$6:$N$213,'DT-GV'!$H$6:$H$213,E172,'DT-GV'!$R$6:$R$213,"&lt;&gt;0")</f>
        <v>452054545</v>
      </c>
      <c r="V172" s="48">
        <f>SUMIFS('DT-GV'!$N$6:$N$213,'DT-GV'!$H$6:$H$213,E172,'DT-GV'!$R$6:$R$213,0)</f>
        <v>0</v>
      </c>
      <c r="W172" s="15">
        <f>-SUMIFS('DT-GV'!$R$6:$R$213,'DT-GV'!$H$6:$H$213,E172)</f>
        <v>-461672727</v>
      </c>
      <c r="X172" s="11">
        <f>IFERROR(VLOOKUP($E172,'Dự thu chiết khấu'!$L$3:$AK$226,26,0)/1.1,0)</f>
        <v>27700363.636363633</v>
      </c>
      <c r="Y172" s="11">
        <f>IFERROR(VLOOKUP($E172,'Dự thu chiết khấu'!$L$3:$BE$226,46,0)/1.1,0)</f>
        <v>0</v>
      </c>
      <c r="Z172" s="11">
        <f>-SUMIF('Lương năng suất'!$R$4:$R$208,E172,'Lương năng suất'!$AQ$4:$AQ$208)</f>
        <v>-9600000</v>
      </c>
      <c r="AA172" s="213" t="str">
        <f>IFERROR(IF(ISNUMBER(SEARCH("TẶNG",VLOOKUP(E172,'Dự thu chiết khấu'!$L$3:$AV$226,37,0))),"TẶNG",""),"")</f>
        <v/>
      </c>
      <c r="AB172" s="213" t="str">
        <f>IFERROR(IF(ISNUMBER(SEARCH("TẶNG",VLOOKUP(E172,'Dự thu chiết khấu'!$L$3:$AW$226,38,0))),"TẶNG",""),"")</f>
        <v/>
      </c>
      <c r="AC172" s="49">
        <f t="shared" si="19"/>
        <v>8482181.636363633</v>
      </c>
      <c r="AD172" s="11">
        <f>IFERROR(VLOOKUP(E172,'Dự thu chiết khấu'!$L$3:$AM$226,28,0),0)</f>
        <v>0</v>
      </c>
      <c r="AE172" s="11">
        <f>IFERROR(VLOOKUP(E172,'Dự thu chiết khấu'!$L$3:$AN$226,29,0),0)</f>
        <v>0</v>
      </c>
      <c r="AF172" s="11">
        <f>IFERROR(VLOOKUP(E172,'Dự thu chiết khấu'!$L$3:$AO$226,30,0),0)</f>
        <v>0</v>
      </c>
    </row>
    <row r="173" spans="1:32">
      <c r="A173" s="11">
        <v>167</v>
      </c>
      <c r="B173" t="str">
        <f>IFERROR(INDEX('Dự thu chiết khấu'!$E:$E,MATCH(E173,'Dự thu chiết khấu'!$L:$L,0)),"")</f>
        <v>Trần Thanh Hoài</v>
      </c>
      <c r="C173" s="51" t="str">
        <f>IFERROR(INDEX('Dự thu chiết khấu'!$F:$F,MATCH(E173,'Dự thu chiết khấu'!$L:$L,0)),"")</f>
        <v>PHẠM VĂN LÈO</v>
      </c>
      <c r="D173" s="4" t="str">
        <f>IFERROR(INDEX('Dự thu chiết khấu'!$H:$H,MATCH(E173,'Dự thu chiết khấu'!$L:$L,0)),"")</f>
        <v>LIMO GREEN</v>
      </c>
      <c r="E173" s="4" t="str">
        <f>'Dự thu chiết khấu'!L170</f>
        <v>RLLVFPNT1TH749711</v>
      </c>
      <c r="F173" s="5" t="s">
        <v>112</v>
      </c>
      <c r="G173" s="5" t="str" cm="1">
        <f t="array" ref="G173">IFERROR(INDEX('DT-GV'!$X$6:$X$213,MATCH(1,('DT-GV'!$H$6:$H$213=E173)*('DT-GV'!$R$6:$R$213&lt;&gt;0),0)),IFERROR(VLOOKUP(E173,'DT-GV'!$H$6:$X$213,17,0),""))</f>
        <v>BLKD</v>
      </c>
      <c r="H173" s="6" t="str">
        <f>VLOOKUP(E173,'Dự thu chiết khấu'!$L$3:$M$226,2,0)</f>
        <v>S11006</v>
      </c>
      <c r="I173">
        <v>1</v>
      </c>
      <c r="J173" s="11">
        <f>VLOOKUP(E173,'Dự thu chiết khấu'!$L$3:$P$226,5,0)</f>
        <v>749000000</v>
      </c>
      <c r="K173" s="12">
        <f t="shared" si="20"/>
        <v>44940000</v>
      </c>
      <c r="L173" s="12">
        <f t="shared" si="21"/>
        <v>0</v>
      </c>
      <c r="M173" s="13">
        <f>IFERROR(VLOOKUP(E173,'Dự thu chiết khấu'!$L$3:$R$226,7,0),0)</f>
        <v>0</v>
      </c>
      <c r="N173" s="14">
        <f>IFERROR(VLOOKUP(E173,'Dự thu chiết khấu'!$L$3:$S$226,8,0),0)</f>
        <v>0</v>
      </c>
      <c r="O173" s="11">
        <f>IF(IFERROR(VLOOKUP(E173,'Dự thu chiết khấu'!$L$3:$T$226,9,0),0)&gt;0,J173*$O$5,0)</f>
        <v>0</v>
      </c>
      <c r="P173" s="13">
        <f>IFERROR(VLOOKUP(E173,'Dự thu chiết khấu'!$L$3:$U$226,10,0),0)</f>
        <v>0</v>
      </c>
      <c r="Q173" s="12">
        <f>IFERROR(VLOOKUP(E173,'Dự thu chiết khấu'!$L$3:$V$226,11,0),0)</f>
        <v>0</v>
      </c>
      <c r="R173" s="12">
        <f>VLOOKUP($E173,'Dự thu chiết khấu'!$L$3:$W$226,12,0)</f>
        <v>12000000</v>
      </c>
      <c r="S173" s="12">
        <f t="shared" si="17"/>
        <v>629145454.5454545</v>
      </c>
      <c r="T173" s="11">
        <f t="shared" si="18"/>
        <v>-0.45454549789428711</v>
      </c>
      <c r="U173" s="15">
        <f>SUMIFS('DT-GV'!$N$6:$N$213,'DT-GV'!$H$6:$H$213,E173,'DT-GV'!$R$6:$R$213,"&lt;&gt;0")</f>
        <v>629145455</v>
      </c>
      <c r="V173" s="48">
        <f>SUMIFS('DT-GV'!$N$6:$N$213,'DT-GV'!$H$6:$H$213,E173,'DT-GV'!$R$6:$R$213,0)</f>
        <v>0</v>
      </c>
      <c r="W173" s="15">
        <f>-SUMIFS('DT-GV'!$R$6:$R$213,'DT-GV'!$H$6:$H$213,E173)</f>
        <v>-653672727</v>
      </c>
      <c r="X173" s="11">
        <f>IFERROR(VLOOKUP($E173,'Dự thu chiết khấu'!$L$3:$AK$226,26,0)/1.1,0)</f>
        <v>39220363.636363633</v>
      </c>
      <c r="Y173" s="11">
        <f>IFERROR(VLOOKUP($E173,'Dự thu chiết khấu'!$L$3:$BE$226,46,0)/1.1,0)</f>
        <v>0</v>
      </c>
      <c r="Z173" s="11">
        <f>-SUMIF('Lương năng suất'!$R$4:$R$208,E173,'Lương năng suất'!$AQ$4:$AQ$208)</f>
        <v>-10600000</v>
      </c>
      <c r="AA173" s="213" t="str">
        <f>IFERROR(IF(ISNUMBER(SEARCH("TẶNG",VLOOKUP(E173,'Dự thu chiết khấu'!$L$3:$AV$226,37,0))),"TẶNG",""),"")</f>
        <v>TẶNG</v>
      </c>
      <c r="AB173" s="213" t="str">
        <f>IFERROR(IF(ISNUMBER(SEARCH("TẶNG",VLOOKUP(E173,'Dự thu chiết khấu'!$L$3:$AW$226,38,0))),"TẶNG",""),"")</f>
        <v/>
      </c>
      <c r="AC173" s="49">
        <f t="shared" si="19"/>
        <v>4093091.636363633</v>
      </c>
      <c r="AD173" s="11">
        <f>IFERROR(VLOOKUP(E173,'Dự thu chiết khấu'!$L$3:$AM$226,28,0),0)</f>
        <v>0</v>
      </c>
      <c r="AE173" s="11">
        <f>IFERROR(VLOOKUP(E173,'Dự thu chiết khấu'!$L$3:$AN$226,29,0),0)</f>
        <v>0</v>
      </c>
      <c r="AF173" s="11">
        <f>IFERROR(VLOOKUP(E173,'Dự thu chiết khấu'!$L$3:$AO$226,30,0),0)</f>
        <v>0</v>
      </c>
    </row>
    <row r="174" spans="1:32">
      <c r="A174">
        <v>168</v>
      </c>
      <c r="B174" t="str">
        <f>IFERROR(INDEX('Dự thu chiết khấu'!$E:$E,MATCH(E174,'Dự thu chiết khấu'!$L:$L,0)),"")</f>
        <v>Võ Thị Phương Linh</v>
      </c>
      <c r="C174" s="51" t="str">
        <f>IFERROR(INDEX('Dự thu chiết khấu'!$F:$F,MATCH(E174,'Dự thu chiết khấu'!$L:$L,0)),"")</f>
        <v>PHẠM THANH THÁI</v>
      </c>
      <c r="D174" s="4" t="str">
        <f>IFERROR(INDEX('Dự thu chiết khấu'!$H:$H,MATCH(E174,'Dự thu chiết khấu'!$L:$L,0)),"")</f>
        <v>LIMO GREEN</v>
      </c>
      <c r="E174" s="4" t="str">
        <f>'Dự thu chiết khấu'!L171</f>
        <v>RLLVFPNTXTH743745</v>
      </c>
      <c r="F174" s="5" t="s">
        <v>112</v>
      </c>
      <c r="G174" s="5" t="str" cm="1">
        <f t="array" ref="G174">IFERROR(INDEX('DT-GV'!$X$6:$X$213,MATCH(1,('DT-GV'!$H$6:$H$213=E174)*('DT-GV'!$R$6:$R$213&lt;&gt;0),0)),IFERROR(VLOOKUP(E174,'DT-GV'!$H$6:$X$213,17,0),""))</f>
        <v>BLKD</v>
      </c>
      <c r="H174" s="6" t="str">
        <f>VLOOKUP(E174,'Dự thu chiết khấu'!$L$3:$M$226,2,0)</f>
        <v>S11006</v>
      </c>
      <c r="I174">
        <v>1</v>
      </c>
      <c r="J174" s="11">
        <f>VLOOKUP(E174,'Dự thu chiết khấu'!$L$3:$P$226,5,0)</f>
        <v>749000000</v>
      </c>
      <c r="K174" s="12">
        <f t="shared" si="20"/>
        <v>44940000</v>
      </c>
      <c r="L174" s="12">
        <f t="shared" si="21"/>
        <v>0</v>
      </c>
      <c r="M174" s="13">
        <f>IFERROR(VLOOKUP(E174,'Dự thu chiết khấu'!$L$3:$R$226,7,0),0)</f>
        <v>0</v>
      </c>
      <c r="N174" s="14">
        <f>IFERROR(VLOOKUP(E174,'Dự thu chiết khấu'!$L$3:$S$226,8,0),0)</f>
        <v>0</v>
      </c>
      <c r="O174" s="11">
        <f>IF(IFERROR(VLOOKUP(E174,'Dự thu chiết khấu'!$L$3:$T$226,9,0),0)&gt;0,J174*$O$5,0)</f>
        <v>22470000</v>
      </c>
      <c r="P174" s="13">
        <f>IFERROR(VLOOKUP(E174,'Dự thu chiết khấu'!$L$3:$U$226,10,0),0)</f>
        <v>0</v>
      </c>
      <c r="Q174" s="12">
        <f>IFERROR(VLOOKUP(E174,'Dự thu chiết khấu'!$L$3:$V$226,11,0),0)</f>
        <v>0</v>
      </c>
      <c r="R174" s="12">
        <f>VLOOKUP($E174,'Dự thu chiết khấu'!$L$3:$W$226,12,0)</f>
        <v>0</v>
      </c>
      <c r="S174" s="12">
        <f t="shared" si="17"/>
        <v>619627272.72727263</v>
      </c>
      <c r="T174" s="11">
        <f t="shared" si="18"/>
        <v>-0.272727370262146</v>
      </c>
      <c r="U174" s="15">
        <f>SUMIFS('DT-GV'!$N$6:$N$213,'DT-GV'!$H$6:$H$213,E174,'DT-GV'!$R$6:$R$213,"&lt;&gt;0")</f>
        <v>619627273</v>
      </c>
      <c r="V174" s="48">
        <f>SUMIFS('DT-GV'!$N$6:$N$213,'DT-GV'!$H$6:$H$213,E174,'DT-GV'!$R$6:$R$213,0)</f>
        <v>0</v>
      </c>
      <c r="W174" s="15">
        <f>-SUMIFS('DT-GV'!$R$6:$R$213,'DT-GV'!$H$6:$H$213,E174)</f>
        <v>-653672727</v>
      </c>
      <c r="X174" s="11">
        <f>IFERROR(VLOOKUP($E174,'Dự thu chiết khấu'!$L$3:$AK$226,26,0)/1.1,0)</f>
        <v>58830545.454545453</v>
      </c>
      <c r="Y174" s="11">
        <f>IFERROR(VLOOKUP($E174,'Dự thu chiết khấu'!$L$3:$BE$226,46,0)/1.1,0)</f>
        <v>0</v>
      </c>
      <c r="Z174" s="11">
        <f>-SUMIF('Lương năng suất'!$R$4:$R$208,E174,'Lương năng suất'!$AQ$4:$AQ$208)</f>
        <v>-15200000</v>
      </c>
      <c r="AA174" s="213" t="str">
        <f>IFERROR(IF(ISNUMBER(SEARCH("TẶNG",VLOOKUP(E174,'Dự thu chiết khấu'!$L$3:$AV$226,37,0))),"TẶNG",""),"")</f>
        <v/>
      </c>
      <c r="AB174" s="213" t="str">
        <f>IFERROR(IF(ISNUMBER(SEARCH("TẶNG",VLOOKUP(E174,'Dự thu chiết khấu'!$L$3:$AW$226,38,0))),"TẶNG",""),"")</f>
        <v/>
      </c>
      <c r="AC174" s="49">
        <f t="shared" si="19"/>
        <v>9585091.4545454532</v>
      </c>
      <c r="AD174" s="11">
        <f>IFERROR(VLOOKUP(E174,'Dự thu chiết khấu'!$L$3:$AM$226,28,0),0)</f>
        <v>0</v>
      </c>
      <c r="AE174" s="11">
        <f>IFERROR(VLOOKUP(E174,'Dự thu chiết khấu'!$L$3:$AN$226,29,0),0)</f>
        <v>0</v>
      </c>
      <c r="AF174" s="11">
        <f>IFERROR(VLOOKUP(E174,'Dự thu chiết khấu'!$L$3:$AO$226,30,0),0)</f>
        <v>0</v>
      </c>
    </row>
    <row r="175" spans="1:32">
      <c r="A175" s="11">
        <v>169</v>
      </c>
      <c r="B175" t="str">
        <f>IFERROR(INDEX('Dự thu chiết khấu'!$E:$E,MATCH(E175,'Dự thu chiết khấu'!$L:$L,0)),"")</f>
        <v>Trương Hoàng Khả</v>
      </c>
      <c r="C175" s="51" t="str">
        <f>IFERROR(INDEX('Dự thu chiết khấu'!$F:$F,MATCH(E175,'Dự thu chiết khấu'!$L:$L,0)),"")</f>
        <v>NGUYỄN THỊ THU TRÚC</v>
      </c>
      <c r="D175" s="4" t="str">
        <f>IFERROR(INDEX('Dự thu chiết khấu'!$H:$H,MATCH(E175,'Dự thu chiết khấu'!$L:$L,0)),"")</f>
        <v>VF 3</v>
      </c>
      <c r="E175" s="4" t="str">
        <f>'Dự thu chiết khấu'!L172</f>
        <v>RLNVBL9K1TT714046</v>
      </c>
      <c r="F175" s="5" t="s">
        <v>112</v>
      </c>
      <c r="G175" s="5" t="str" cm="1">
        <f t="array" ref="G175">IFERROR(INDEX('DT-GV'!$X$6:$X$213,MATCH(1,('DT-GV'!$H$6:$H$213=E175)*('DT-GV'!$R$6:$R$213&lt;&gt;0),0)),IFERROR(VLOOKUP(E175,'DT-GV'!$H$6:$X$213,17,0),""))</f>
        <v>BLKD</v>
      </c>
      <c r="H175" s="6" t="str">
        <f>VLOOKUP(E175,'Dự thu chiết khấu'!$L$3:$M$226,2,0)</f>
        <v>S11001</v>
      </c>
      <c r="I175">
        <v>1</v>
      </c>
      <c r="J175" s="11">
        <f>VLOOKUP(E175,'Dự thu chiết khấu'!$L$3:$P$226,5,0)</f>
        <v>315000000</v>
      </c>
      <c r="K175" s="12">
        <f t="shared" si="20"/>
        <v>18900000</v>
      </c>
      <c r="L175" s="12">
        <f t="shared" si="21"/>
        <v>0</v>
      </c>
      <c r="M175" s="13">
        <f>IFERROR(VLOOKUP(E175,'Dự thu chiết khấu'!$L$3:$R$226,7,0),0)</f>
        <v>0</v>
      </c>
      <c r="N175" s="14">
        <f>IFERROR(VLOOKUP(E175,'Dự thu chiết khấu'!$L$3:$S$226,8,0),0)</f>
        <v>0</v>
      </c>
      <c r="O175" s="11">
        <f>IF(IFERROR(VLOOKUP(E175,'Dự thu chiết khấu'!$L$3:$T$226,9,0),0)&gt;0,J175*$O$5,0)</f>
        <v>0</v>
      </c>
      <c r="P175" s="13">
        <f>IFERROR(VLOOKUP(E175,'Dự thu chiết khấu'!$L$3:$U$226,10,0),0)</f>
        <v>0</v>
      </c>
      <c r="Q175" s="12">
        <f>IFERROR(VLOOKUP(E175,'Dự thu chiết khấu'!$L$3:$V$226,11,0),0)</f>
        <v>0</v>
      </c>
      <c r="R175" s="12">
        <f>VLOOKUP($E175,'Dự thu chiết khấu'!$L$3:$W$226,12,0)</f>
        <v>0</v>
      </c>
      <c r="S175" s="12">
        <f t="shared" si="17"/>
        <v>269181818.18181819</v>
      </c>
      <c r="T175" s="11">
        <f t="shared" si="18"/>
        <v>0.18181818723678589</v>
      </c>
      <c r="U175" s="15">
        <f>SUMIFS('DT-GV'!$N$6:$N$213,'DT-GV'!$H$6:$H$213,E175,'DT-GV'!$R$6:$R$213,"&lt;&gt;0")</f>
        <v>269181818</v>
      </c>
      <c r="V175" s="48">
        <f>SUMIFS('DT-GV'!$N$6:$N$213,'DT-GV'!$H$6:$H$213,E175,'DT-GV'!$R$6:$R$213,0)</f>
        <v>0</v>
      </c>
      <c r="W175" s="15">
        <f>-SUMIFS('DT-GV'!$R$6:$R$213,'DT-GV'!$H$6:$H$213,E175)</f>
        <v>-274909091</v>
      </c>
      <c r="X175" s="11">
        <f>IFERROR(VLOOKUP($E175,'Dự thu chiết khấu'!$L$3:$AK$226,26,0)/1.1,0)</f>
        <v>16494545.454545453</v>
      </c>
      <c r="Y175" s="11">
        <f>IFERROR(VLOOKUP($E175,'Dự thu chiết khấu'!$L$3:$BE$226,46,0)/1.1,0)</f>
        <v>0</v>
      </c>
      <c r="Z175" s="11">
        <f>-SUMIF('Lương năng suất'!$R$4:$R$208,E175,'Lương năng suất'!$AQ$4:$AQ$208)</f>
        <v>-5100000</v>
      </c>
      <c r="AA175" s="213" t="str">
        <f>IFERROR(IF(ISNUMBER(SEARCH("TẶNG",VLOOKUP(E175,'Dự thu chiết khấu'!$L$3:$AV$226,37,0))),"TẶNG",""),"")</f>
        <v/>
      </c>
      <c r="AB175" s="213" t="str">
        <f>IFERROR(IF(ISNUMBER(SEARCH("TẶNG",VLOOKUP(E175,'Dự thu chiết khấu'!$L$3:$AW$226,38,0))),"TẶNG",""),"")</f>
        <v/>
      </c>
      <c r="AC175" s="49">
        <f t="shared" si="19"/>
        <v>5667272.4545454532</v>
      </c>
      <c r="AD175" s="11">
        <f>IFERROR(VLOOKUP(E175,'Dự thu chiết khấu'!$L$3:$AM$226,28,0),0)</f>
        <v>0</v>
      </c>
      <c r="AE175" s="11">
        <f>IFERROR(VLOOKUP(E175,'Dự thu chiết khấu'!$L$3:$AN$226,29,0),0)</f>
        <v>0</v>
      </c>
      <c r="AF175" s="11">
        <f>IFERROR(VLOOKUP(E175,'Dự thu chiết khấu'!$L$3:$AO$226,30,0),0)</f>
        <v>0</v>
      </c>
    </row>
    <row r="176" spans="1:32">
      <c r="A176">
        <v>170</v>
      </c>
      <c r="B176" t="str">
        <f>IFERROR(INDEX('Dự thu chiết khấu'!$E:$E,MATCH(E176,'Dự thu chiết khấu'!$L:$L,0)),"")</f>
        <v>Nguyễn Hữu Thanh Tú</v>
      </c>
      <c r="C176" s="51" t="str">
        <f>IFERROR(INDEX('Dự thu chiết khấu'!$F:$F,MATCH(E176,'Dự thu chiết khấu'!$L:$L,0)),"")</f>
        <v>NGUYỄN THÀNH GIÀU</v>
      </c>
      <c r="D176" s="4" t="str">
        <f>IFERROR(INDEX('Dự thu chiết khấu'!$H:$H,MATCH(E176,'Dự thu chiết khấu'!$L:$L,0)),"")</f>
        <v>VF 3</v>
      </c>
      <c r="E176" s="4" t="str">
        <f>'Dự thu chiết khấu'!L173</f>
        <v>RLNVBL9K7TT713919</v>
      </c>
      <c r="F176" s="5" t="s">
        <v>112</v>
      </c>
      <c r="G176" s="5" t="str" cm="1">
        <f t="array" ref="G176">IFERROR(INDEX('DT-GV'!$X$6:$X$213,MATCH(1,('DT-GV'!$H$6:$H$213=E176)*('DT-GV'!$R$6:$R$213&lt;&gt;0),0)),IFERROR(VLOOKUP(E176,'DT-GV'!$H$6:$X$213,17,0),""))</f>
        <v>BLKD</v>
      </c>
      <c r="H176" s="8" t="str">
        <f>VLOOKUP(E176,'Dự thu chiết khấu'!$L$3:$M$226,2,0)</f>
        <v>S11006</v>
      </c>
      <c r="I176">
        <v>1</v>
      </c>
      <c r="J176" s="11">
        <f>VLOOKUP(E176,'Dự thu chiết khấu'!$L$3:$P$226,5,0)</f>
        <v>302000000</v>
      </c>
      <c r="K176" s="12">
        <f t="shared" si="20"/>
        <v>18120000</v>
      </c>
      <c r="L176" s="12">
        <f t="shared" si="21"/>
        <v>0</v>
      </c>
      <c r="M176" s="13">
        <f>IFERROR(VLOOKUP(E176,'Dự thu chiết khấu'!$L$3:$R$226,7,0),0)</f>
        <v>0</v>
      </c>
      <c r="N176" s="14">
        <f>IFERROR(VLOOKUP(E176,'Dự thu chiết khấu'!$L$3:$S$226,8,0),0)</f>
        <v>0</v>
      </c>
      <c r="O176" s="11">
        <f>IF(IFERROR(VLOOKUP(E176,'Dự thu chiết khấu'!$L$3:$T$226,9,0),0)&gt;0,J176*$O$5,0)</f>
        <v>9060000</v>
      </c>
      <c r="P176" s="13">
        <f>IFERROR(VLOOKUP(E176,'Dự thu chiết khấu'!$L$3:$U$226,10,0),0)</f>
        <v>0</v>
      </c>
      <c r="Q176" s="12">
        <f>IFERROR(VLOOKUP(E176,'Dự thu chiết khấu'!$L$3:$V$226,11,0),0)</f>
        <v>0</v>
      </c>
      <c r="R176" s="12">
        <f>VLOOKUP($E176,'Dự thu chiết khấu'!$L$3:$W$226,12,0)</f>
        <v>0</v>
      </c>
      <c r="S176" s="12">
        <f t="shared" si="17"/>
        <v>249836363.63636363</v>
      </c>
      <c r="T176" s="11">
        <f t="shared" si="18"/>
        <v>-0.36363637447357178</v>
      </c>
      <c r="U176" s="15">
        <f>SUMIFS('DT-GV'!$N$6:$N$213,'DT-GV'!$H$6:$H$213,E176,'DT-GV'!$R$6:$R$213,"&lt;&gt;0")</f>
        <v>249836364</v>
      </c>
      <c r="V176" s="48">
        <f>SUMIFS('DT-GV'!$N$6:$N$213,'DT-GV'!$H$6:$H$213,E176,'DT-GV'!$R$6:$R$213,0)</f>
        <v>0</v>
      </c>
      <c r="W176" s="15">
        <f>-SUMIFS('DT-GV'!$R$6:$R$213,'DT-GV'!$H$6:$H$213,E176)</f>
        <v>-263563636</v>
      </c>
      <c r="X176" s="11">
        <f>IFERROR(VLOOKUP($E176,'Dự thu chiết khấu'!$L$3:$AK$226,26,0)/1.1,0)</f>
        <v>23720727.27272727</v>
      </c>
      <c r="Y176" s="11">
        <f>IFERROR(VLOOKUP($E176,'Dự thu chiết khấu'!$L$3:$BE$226,46,0)/1.1,0)</f>
        <v>0</v>
      </c>
      <c r="Z176" s="11">
        <f>-SUMIF('Lương năng suất'!$R$4:$R$208,E176,'Lương năng suất'!$AQ$4:$AQ$208)</f>
        <v>-4800000</v>
      </c>
      <c r="AA176" s="213" t="str">
        <f>IFERROR(IF(ISNUMBER(SEARCH("TẶNG",VLOOKUP(E176,'Dự thu chiết khấu'!$L$3:$AV$226,37,0))),"TẶNG",""),"")</f>
        <v>TẶNG</v>
      </c>
      <c r="AB176" s="213" t="str">
        <f>IFERROR(IF(ISNUMBER(SEARCH("TẶNG",VLOOKUP(E176,'Dự thu chiết khấu'!$L$3:$AW$226,38,0))),"TẶNG",""),"")</f>
        <v/>
      </c>
      <c r="AC176" s="49">
        <f t="shared" si="19"/>
        <v>5193455.2727272697</v>
      </c>
      <c r="AD176" s="11">
        <f>IFERROR(VLOOKUP(E176,'Dự thu chiết khấu'!$L$3:$AM$226,28,0),0)</f>
        <v>0</v>
      </c>
      <c r="AE176" s="11">
        <f>IFERROR(VLOOKUP(E176,'Dự thu chiết khấu'!$L$3:$AN$226,29,0),0)</f>
        <v>0</v>
      </c>
      <c r="AF176" s="11">
        <f>IFERROR(VLOOKUP(E176,'Dự thu chiết khấu'!$L$3:$AO$226,30,0),0)</f>
        <v>0</v>
      </c>
    </row>
    <row r="177" spans="1:32">
      <c r="A177" s="11">
        <v>171</v>
      </c>
      <c r="B177" t="str">
        <f>IFERROR(INDEX('Dự thu chiết khấu'!$E:$E,MATCH(E177,'Dự thu chiết khấu'!$L:$L,0)),"")</f>
        <v>Bùi Minh Trung</v>
      </c>
      <c r="C177" s="51" t="str">
        <f>IFERROR(INDEX('Dự thu chiết khấu'!$F:$F,MATCH(E177,'Dự thu chiết khấu'!$L:$L,0)),"")</f>
        <v>NGUYỄN VĂN THÀNH</v>
      </c>
      <c r="D177" s="4" t="str">
        <f>IFERROR(INDEX('Dự thu chiết khấu'!$H:$H,MATCH(E177,'Dự thu chiết khấu'!$L:$L,0)),"")</f>
        <v>EC VAN</v>
      </c>
      <c r="E177" s="4" t="str">
        <f>'Dự thu chiết khấu'!L174</f>
        <v>RNXVGRPK0TT710607</v>
      </c>
      <c r="F177" s="5" t="s">
        <v>112</v>
      </c>
      <c r="G177" s="5" t="str" cm="1">
        <f t="array" ref="G177">IFERROR(INDEX('DT-GV'!$X$6:$X$213,MATCH(1,('DT-GV'!$H$6:$H$213=E177)*('DT-GV'!$R$6:$R$213&lt;&gt;0),0)),IFERROR(VLOOKUP(E177,'DT-GV'!$H$6:$X$213,17,0),""))</f>
        <v>BLKD</v>
      </c>
      <c r="H177" s="6" t="str">
        <f>VLOOKUP(E177,'Dự thu chiết khấu'!$L$3:$M$226,2,0)</f>
        <v>S11006</v>
      </c>
      <c r="I177">
        <v>1</v>
      </c>
      <c r="J177" s="11">
        <f>VLOOKUP(E177,'Dự thu chiết khấu'!$L$3:$P$226,5,0)</f>
        <v>305000000</v>
      </c>
      <c r="K177" s="12">
        <f t="shared" si="20"/>
        <v>18300000</v>
      </c>
      <c r="L177" s="12">
        <f t="shared" si="21"/>
        <v>0</v>
      </c>
      <c r="M177" s="13">
        <f>IFERROR(VLOOKUP(E177,'Dự thu chiết khấu'!$L$3:$R$226,7,0),0)</f>
        <v>0</v>
      </c>
      <c r="N177" s="14">
        <f>IFERROR(VLOOKUP(E177,'Dự thu chiết khấu'!$L$3:$S$226,8,0),0)</f>
        <v>0</v>
      </c>
      <c r="O177" s="11">
        <f>IF(IFERROR(VLOOKUP(E177,'Dự thu chiết khấu'!$L$3:$T$226,9,0),0)&gt;0,J177*$O$5,0)</f>
        <v>0</v>
      </c>
      <c r="P177" s="13">
        <f>IFERROR(VLOOKUP(E177,'Dự thu chiết khấu'!$L$3:$U$226,10,0),0)</f>
        <v>0</v>
      </c>
      <c r="Q177" s="12">
        <f>IFERROR(VLOOKUP(E177,'Dự thu chiết khấu'!$L$3:$V$226,11,0),0)</f>
        <v>0</v>
      </c>
      <c r="R177" s="12">
        <f>VLOOKUP($E177,'Dự thu chiết khấu'!$L$3:$W$226,12,0)</f>
        <v>2000000</v>
      </c>
      <c r="S177" s="12">
        <f t="shared" si="17"/>
        <v>258818181.81818178</v>
      </c>
      <c r="T177" s="11">
        <f t="shared" si="18"/>
        <v>-0.18181821703910828</v>
      </c>
      <c r="U177" s="15">
        <f>SUMIFS('DT-GV'!$N$6:$N$213,'DT-GV'!$H$6:$H$213,E177,'DT-GV'!$R$6:$R$213,"&lt;&gt;0")</f>
        <v>258818182</v>
      </c>
      <c r="V177" s="48">
        <f>SUMIFS('DT-GV'!$N$6:$N$213,'DT-GV'!$H$6:$H$213,E177,'DT-GV'!$R$6:$R$213,0)</f>
        <v>0</v>
      </c>
      <c r="W177" s="15">
        <f>-SUMIFS('DT-GV'!$R$6:$R$213,'DT-GV'!$H$6:$H$213,E177)</f>
        <v>-266181818</v>
      </c>
      <c r="X177" s="11">
        <f>IFERROR(VLOOKUP($E177,'Dự thu chiết khấu'!$L$3:$AK$226,26,0)/1.1,0)</f>
        <v>15970909.09090909</v>
      </c>
      <c r="Y177" s="11">
        <f>IFERROR(VLOOKUP($E177,'Dự thu chiết khấu'!$L$3:$BE$226,46,0)/1.1,0)</f>
        <v>0</v>
      </c>
      <c r="Z177" s="11">
        <f>-SUMIF('Lương năng suất'!$R$4:$R$208,E177,'Lương năng suất'!$AQ$4:$AQ$208)</f>
        <v>-3300000</v>
      </c>
      <c r="AA177" s="213" t="str">
        <f>IFERROR(IF(ISNUMBER(SEARCH("TẶNG",VLOOKUP(E177,'Dự thu chiết khấu'!$L$3:$AV$226,37,0))),"TẶNG",""),"")</f>
        <v>TẶNG</v>
      </c>
      <c r="AB177" s="213" t="str">
        <f>IFERROR(IF(ISNUMBER(SEARCH("TẶNG",VLOOKUP(E177,'Dự thu chiết khấu'!$L$3:$AW$226,38,0))),"TẶNG",""),"")</f>
        <v/>
      </c>
      <c r="AC177" s="49">
        <f t="shared" si="19"/>
        <v>5307273.0909090899</v>
      </c>
      <c r="AD177" s="11">
        <f>IFERROR(VLOOKUP(E177,'Dự thu chiết khấu'!$L$3:$AM$226,28,0),0)</f>
        <v>0</v>
      </c>
      <c r="AE177" s="11">
        <f>IFERROR(VLOOKUP(E177,'Dự thu chiết khấu'!$L$3:$AN$226,29,0),0)</f>
        <v>0</v>
      </c>
      <c r="AF177" s="11">
        <f>IFERROR(VLOOKUP(E177,'Dự thu chiết khấu'!$L$3:$AO$226,30,0),0)</f>
        <v>5000000</v>
      </c>
    </row>
    <row r="178" spans="1:32">
      <c r="A178">
        <v>172</v>
      </c>
      <c r="B178" t="str">
        <f>IFERROR(INDEX('Dự thu chiết khấu'!$E:$E,MATCH(E178,'Dự thu chiết khấu'!$L:$L,0)),"")</f>
        <v>Bùi Minh Trung</v>
      </c>
      <c r="C178" s="51" t="str">
        <f>IFERROR(INDEX('Dự thu chiết khấu'!$F:$F,MATCH(E178,'Dự thu chiết khấu'!$L:$L,0)),"")</f>
        <v>MAI THỊ THANH HẰNG</v>
      </c>
      <c r="D178" s="4" t="str">
        <f>IFERROR(INDEX('Dự thu chiết khấu'!$H:$H,MATCH(E178,'Dự thu chiết khấu'!$L:$L,0)),"")</f>
        <v>VF 3</v>
      </c>
      <c r="E178" s="4" t="str">
        <f>'Dự thu chiết khấu'!L175</f>
        <v>RLNVBL9K3TT715909</v>
      </c>
      <c r="F178" s="5" t="s">
        <v>112</v>
      </c>
      <c r="G178" s="5" t="str" cm="1">
        <f t="array" ref="G178">IFERROR(INDEX('DT-GV'!$X$6:$X$213,MATCH(1,('DT-GV'!$H$6:$H$213=E178)*('DT-GV'!$R$6:$R$213&lt;&gt;0),0)),IFERROR(VLOOKUP(E178,'DT-GV'!$H$6:$X$213,17,0),""))</f>
        <v>BLKD</v>
      </c>
      <c r="H178" s="6" t="str">
        <f>VLOOKUP(E178,'Dự thu chiết khấu'!$L$3:$M$226,2,0)</f>
        <v>S11006</v>
      </c>
      <c r="I178">
        <v>1</v>
      </c>
      <c r="J178" s="11">
        <f>VLOOKUP(E178,'Dự thu chiết khấu'!$L$3:$P$226,5,0)</f>
        <v>302000000</v>
      </c>
      <c r="K178" s="12">
        <f t="shared" si="20"/>
        <v>18120000</v>
      </c>
      <c r="L178" s="12">
        <f t="shared" si="21"/>
        <v>0</v>
      </c>
      <c r="M178" s="13">
        <f>IFERROR(VLOOKUP(E178,'Dự thu chiết khấu'!$L$3:$R$226,7,0),0)</f>
        <v>0</v>
      </c>
      <c r="N178" s="14">
        <f>IFERROR(VLOOKUP(E178,'Dự thu chiết khấu'!$L$3:$S$226,8,0),0)</f>
        <v>0</v>
      </c>
      <c r="O178" s="11">
        <f>IF(IFERROR(VLOOKUP(E178,'Dự thu chiết khấu'!$L$3:$T$226,9,0),0)&gt;0,J178*$O$5,0)</f>
        <v>0</v>
      </c>
      <c r="P178" s="13">
        <f>IFERROR(VLOOKUP(E178,'Dự thu chiết khấu'!$L$3:$U$226,10,0),0)</f>
        <v>0</v>
      </c>
      <c r="Q178" s="12">
        <f>IFERROR(VLOOKUP(E178,'Dự thu chiết khấu'!$L$3:$V$226,11,0),0)</f>
        <v>0</v>
      </c>
      <c r="R178" s="12">
        <f>VLOOKUP($E178,'Dự thu chiết khấu'!$L$3:$W$226,12,0)</f>
        <v>0</v>
      </c>
      <c r="S178" s="12">
        <f t="shared" si="17"/>
        <v>258072727.27272725</v>
      </c>
      <c r="T178" s="11">
        <f t="shared" si="18"/>
        <v>0.27272725105285645</v>
      </c>
      <c r="U178" s="15">
        <f>SUMIFS('DT-GV'!$N$6:$N$213,'DT-GV'!$H$6:$H$213,E178,'DT-GV'!$R$6:$R$213,"&lt;&gt;0")</f>
        <v>258072727</v>
      </c>
      <c r="V178" s="48">
        <f>SUMIFS('DT-GV'!$N$6:$N$213,'DT-GV'!$H$6:$H$213,E178,'DT-GV'!$R$6:$R$213,0)</f>
        <v>0</v>
      </c>
      <c r="W178" s="15">
        <f>-SUMIFS('DT-GV'!$R$6:$R$213,'DT-GV'!$H$6:$H$213,E178)</f>
        <v>-263563636</v>
      </c>
      <c r="X178" s="11">
        <f>IFERROR(VLOOKUP($E178,'Dự thu chiết khấu'!$L$3:$AK$226,26,0)/1.1,0)</f>
        <v>15813818.18181818</v>
      </c>
      <c r="Y178" s="11">
        <f>IFERROR(VLOOKUP($E178,'Dự thu chiết khấu'!$L$3:$BE$226,46,0)/1.1,0)</f>
        <v>0</v>
      </c>
      <c r="Z178" s="11">
        <f>-SUMIF('Lương năng suất'!$R$4:$R$208,E178,'Lương năng suất'!$AQ$4:$AQ$208)</f>
        <v>-4800000</v>
      </c>
      <c r="AA178" s="213" t="str">
        <f>IFERROR(IF(ISNUMBER(SEARCH("TẶNG",VLOOKUP(E178,'Dự thu chiết khấu'!$L$3:$AV$226,37,0))),"TẶNG",""),"")</f>
        <v>TẶNG</v>
      </c>
      <c r="AB178" s="213" t="str">
        <f>IFERROR(IF(ISNUMBER(SEARCH("TẶNG",VLOOKUP(E178,'Dự thu chiết khấu'!$L$3:$AW$226,38,0))),"TẶNG",""),"")</f>
        <v/>
      </c>
      <c r="AC178" s="49">
        <f t="shared" si="19"/>
        <v>5522909.1818181798</v>
      </c>
      <c r="AD178" s="11">
        <f>IFERROR(VLOOKUP(E178,'Dự thu chiết khấu'!$L$3:$AM$226,28,0),0)</f>
        <v>0</v>
      </c>
      <c r="AE178" s="11">
        <f>IFERROR(VLOOKUP(E178,'Dự thu chiết khấu'!$L$3:$AN$226,29,0),0)</f>
        <v>0</v>
      </c>
      <c r="AF178" s="11">
        <f>IFERROR(VLOOKUP(E178,'Dự thu chiết khấu'!$L$3:$AO$226,30,0),0)</f>
        <v>0</v>
      </c>
    </row>
    <row r="179" spans="1:32">
      <c r="A179" s="11">
        <v>173</v>
      </c>
      <c r="B179" t="str">
        <f>IFERROR(INDEX('Dự thu chiết khấu'!$E:$E,MATCH(E179,'Dự thu chiết khấu'!$L:$L,0)),"")</f>
        <v>Võ Thị Phương Linh</v>
      </c>
      <c r="C179" s="51" t="str">
        <f>IFERROR(INDEX('Dự thu chiết khấu'!$F:$F,MATCH(E179,'Dự thu chiết khấu'!$L:$L,0)),"")</f>
        <v>HUỲNH LÊ TRỌNG BẰNG</v>
      </c>
      <c r="D179" s="4" t="str">
        <f>IFERROR(INDEX('Dự thu chiết khấu'!$H:$H,MATCH(E179,'Dự thu chiết khấu'!$L:$L,0)),"")</f>
        <v>VF 6</v>
      </c>
      <c r="E179" s="4" t="str">
        <f>'Dự thu chiết khấu'!L176</f>
        <v>RLLVAG8C9TH746100</v>
      </c>
      <c r="F179" s="5" t="s">
        <v>112</v>
      </c>
      <c r="G179" s="5" t="str" cm="1">
        <f t="array" ref="G179">IFERROR(INDEX('DT-GV'!$X$6:$X$213,MATCH(1,('DT-GV'!$H$6:$H$213=E179)*('DT-GV'!$R$6:$R$213&lt;&gt;0),0)),IFERROR(VLOOKUP(E179,'DT-GV'!$H$6:$X$213,17,0),""))</f>
        <v>BLKD</v>
      </c>
      <c r="H179" s="6" t="str">
        <f>VLOOKUP(E179,'Dự thu chiết khấu'!$L$3:$M$226,2,0)</f>
        <v>S11006</v>
      </c>
      <c r="I179">
        <v>1</v>
      </c>
      <c r="J179" s="11">
        <f>VLOOKUP(E179,'Dự thu chiết khấu'!$L$3:$P$226,5,0)</f>
        <v>745000000</v>
      </c>
      <c r="K179" s="12">
        <f t="shared" si="20"/>
        <v>44700000</v>
      </c>
      <c r="L179" s="12">
        <f t="shared" si="21"/>
        <v>0</v>
      </c>
      <c r="M179" s="13">
        <f>IFERROR(VLOOKUP(E179,'Dự thu chiết khấu'!$L$3:$R$226,7,0),0)</f>
        <v>0</v>
      </c>
      <c r="N179" s="14">
        <f>IFERROR(VLOOKUP(E179,'Dự thu chiết khấu'!$L$3:$S$226,8,0),0)</f>
        <v>0</v>
      </c>
      <c r="O179" s="11">
        <f>IF(IFERROR(VLOOKUP(E179,'Dự thu chiết khấu'!$L$3:$T$226,9,0),0)&gt;0,J179*$O$5,0)</f>
        <v>0</v>
      </c>
      <c r="P179" s="13">
        <f>IFERROR(VLOOKUP(E179,'Dự thu chiết khấu'!$L$3:$U$226,10,0),0)</f>
        <v>0</v>
      </c>
      <c r="Q179" s="12">
        <f>IFERROR(VLOOKUP(E179,'Dự thu chiết khấu'!$L$3:$V$226,11,0),0)</f>
        <v>0</v>
      </c>
      <c r="R179" s="12">
        <f>VLOOKUP($E179,'Dự thu chiết khấu'!$L$3:$W$226,12,0)</f>
        <v>0</v>
      </c>
      <c r="S179" s="12">
        <f t="shared" si="17"/>
        <v>636636363.63636363</v>
      </c>
      <c r="T179" s="11">
        <f t="shared" si="18"/>
        <v>-0.36363637447357178</v>
      </c>
      <c r="U179" s="15">
        <f>SUMIFS('DT-GV'!$N$6:$N$213,'DT-GV'!$H$6:$H$213,E179,'DT-GV'!$R$6:$R$213,"&lt;&gt;0")</f>
        <v>636636364</v>
      </c>
      <c r="V179" s="48">
        <f>SUMIFS('DT-GV'!$N$6:$N$213,'DT-GV'!$H$6:$H$213,E179,'DT-GV'!$R$6:$R$213,0)</f>
        <v>0</v>
      </c>
      <c r="W179" s="15">
        <f>-SUMIFS('DT-GV'!$R$6:$R$213,'DT-GV'!$H$6:$H$213,E179)</f>
        <v>-650181818</v>
      </c>
      <c r="X179" s="11">
        <f>IFERROR(VLOOKUP($E179,'Dự thu chiết khấu'!$L$3:$AK$226,26,0)/1.1,0)</f>
        <v>39010909.090909086</v>
      </c>
      <c r="Y179" s="11">
        <f>IFERROR(VLOOKUP($E179,'Dự thu chiết khấu'!$L$3:$BE$226,46,0)/1.1,0)</f>
        <v>0</v>
      </c>
      <c r="Z179" s="11">
        <f>-SUMIF('Lương năng suất'!$R$4:$R$208,E179,'Lương năng suất'!$AQ$4:$AQ$208)</f>
        <v>-16000000</v>
      </c>
      <c r="AA179" s="213" t="str">
        <f>IFERROR(IF(ISNUMBER(SEARCH("TẶNG",VLOOKUP(E179,'Dự thu chiết khấu'!$L$3:$AV$226,37,0))),"TẶNG",""),"")</f>
        <v>TẶNG</v>
      </c>
      <c r="AB179" s="213" t="str">
        <f>IFERROR(IF(ISNUMBER(SEARCH("TẶNG",VLOOKUP(E179,'Dự thu chiết khấu'!$L$3:$AW$226,38,0))),"TẶNG",""),"")</f>
        <v/>
      </c>
      <c r="AC179" s="49">
        <f t="shared" si="19"/>
        <v>9465455.0909090862</v>
      </c>
      <c r="AD179" s="11">
        <f>IFERROR(VLOOKUP(E179,'Dự thu chiết khấu'!$L$3:$AM$226,28,0),0)</f>
        <v>0</v>
      </c>
      <c r="AE179" s="11">
        <f>IFERROR(VLOOKUP(E179,'Dự thu chiết khấu'!$L$3:$AN$226,29,0),0)</f>
        <v>0</v>
      </c>
      <c r="AF179" s="11">
        <f>IFERROR(VLOOKUP(E179,'Dự thu chiết khấu'!$L$3:$AO$226,30,0),0)</f>
        <v>0</v>
      </c>
    </row>
    <row r="180" spans="1:32">
      <c r="A180">
        <v>174</v>
      </c>
      <c r="B180" t="str">
        <f>IFERROR(INDEX('Dự thu chiết khấu'!$E:$E,MATCH(E180,'Dự thu chiết khấu'!$L:$L,0)),"")</f>
        <v>Hoàng Ngọc Tú</v>
      </c>
      <c r="C180" s="51" t="str">
        <f>IFERROR(INDEX('Dự thu chiết khấu'!$F:$F,MATCH(E180,'Dự thu chiết khấu'!$L:$L,0)),"")</f>
        <v>VÕ THANH TUẤN</v>
      </c>
      <c r="D180" s="4" t="str">
        <f>IFERROR(INDEX('Dự thu chiết khấu'!$H:$H,MATCH(E180,'Dự thu chiết khấu'!$L:$L,0)),"")</f>
        <v>VF 6</v>
      </c>
      <c r="E180" s="4" t="str">
        <f>'Dự thu chiết khấu'!L177</f>
        <v>RLLVAG8C2TH738260</v>
      </c>
      <c r="F180" s="5" t="s">
        <v>112</v>
      </c>
      <c r="G180" s="5" t="str" cm="1">
        <f t="array" ref="G180">IFERROR(INDEX('DT-GV'!$X$6:$X$213,MATCH(1,('DT-GV'!$H$6:$H$213=E180)*('DT-GV'!$R$6:$R$213&lt;&gt;0),0)),IFERROR(VLOOKUP(E180,'DT-GV'!$H$6:$X$213,17,0),""))</f>
        <v>BLKD</v>
      </c>
      <c r="H180" s="8" t="str">
        <f>VLOOKUP(E180,'Dự thu chiết khấu'!$L$3:$M$226,2,0)</f>
        <v>S11006</v>
      </c>
      <c r="I180">
        <v>1</v>
      </c>
      <c r="J180" s="11">
        <f>VLOOKUP(E180,'Dự thu chiết khấu'!$L$3:$P$226,5,0)</f>
        <v>745000000</v>
      </c>
      <c r="K180" s="12">
        <f t="shared" si="20"/>
        <v>44700000</v>
      </c>
      <c r="L180" s="12">
        <f t="shared" si="21"/>
        <v>0</v>
      </c>
      <c r="M180" s="13">
        <f>IFERROR(VLOOKUP(E180,'Dự thu chiết khấu'!$L$3:$R$226,7,0),0)</f>
        <v>0</v>
      </c>
      <c r="N180" s="14">
        <f>IFERROR(VLOOKUP(E180,'Dự thu chiết khấu'!$L$3:$S$226,8,0),0)</f>
        <v>0</v>
      </c>
      <c r="O180" s="11">
        <f>IF(IFERROR(VLOOKUP(E180,'Dự thu chiết khấu'!$L$3:$T$226,9,0),0)&gt;0,J180*$O$5,0)</f>
        <v>22350000</v>
      </c>
      <c r="P180" s="13">
        <f>IFERROR(VLOOKUP(E180,'Dự thu chiết khấu'!$L$3:$U$226,10,0),0)</f>
        <v>0</v>
      </c>
      <c r="Q180" s="12">
        <f>IFERROR(VLOOKUP(E180,'Dự thu chiết khấu'!$L$3:$V$226,11,0),0)</f>
        <v>0</v>
      </c>
      <c r="R180" s="12">
        <f>VLOOKUP($E180,'Dự thu chiết khấu'!$L$3:$W$226,12,0)</f>
        <v>12000000</v>
      </c>
      <c r="S180" s="12">
        <f t="shared" si="17"/>
        <v>605409090.90909088</v>
      </c>
      <c r="T180" s="11">
        <f t="shared" si="18"/>
        <v>-9.0909123420715332E-2</v>
      </c>
      <c r="U180" s="15">
        <f>SUMIFS('DT-GV'!$N$6:$N$213,'DT-GV'!$H$6:$H$213,E180,'DT-GV'!$R$6:$R$213,"&lt;&gt;0")</f>
        <v>605409091</v>
      </c>
      <c r="V180" s="48">
        <f>SUMIFS('DT-GV'!$N$6:$N$213,'DT-GV'!$H$6:$H$213,E180,'DT-GV'!$R$6:$R$213,0)</f>
        <v>0</v>
      </c>
      <c r="W180" s="15">
        <f>-SUMIFS('DT-GV'!$R$6:$R$213,'DT-GV'!$H$6:$H$213,E180)</f>
        <v>-650181818</v>
      </c>
      <c r="X180" s="11">
        <f>IFERROR(VLOOKUP($E180,'Dự thu chiết khấu'!$L$3:$AK$226,26,0)/1.1,0)</f>
        <v>58516363.636363633</v>
      </c>
      <c r="Y180" s="11">
        <f>IFERROR(VLOOKUP($E180,'Dự thu chiết khấu'!$L$3:$BE$226,46,0)/1.1,0)</f>
        <v>0</v>
      </c>
      <c r="Z180" s="11">
        <f>-SUMIF('Lương năng suất'!$R$4:$R$208,E180,'Lương năng suất'!$AQ$4:$AQ$208)</f>
        <v>-4800000</v>
      </c>
      <c r="AA180" s="213" t="str">
        <f>IFERROR(IF(ISNUMBER(SEARCH("TẶNG",VLOOKUP(E180,'Dự thu chiết khấu'!$L$3:$AV$226,37,0))),"TẶNG",""),"")</f>
        <v>TẶNG</v>
      </c>
      <c r="AB180" s="213" t="str">
        <f>IFERROR(IF(ISNUMBER(SEARCH("TẶNG",VLOOKUP(E180,'Dự thu chiết khấu'!$L$3:$AW$226,38,0))),"TẶNG",""),"")</f>
        <v/>
      </c>
      <c r="AC180" s="49">
        <f t="shared" si="19"/>
        <v>8943636.636363633</v>
      </c>
      <c r="AD180" s="11">
        <f>IFERROR(VLOOKUP(E180,'Dự thu chiết khấu'!$L$3:$AM$226,28,0),0)</f>
        <v>0</v>
      </c>
      <c r="AE180" s="11">
        <f>IFERROR(VLOOKUP(E180,'Dự thu chiết khấu'!$L$3:$AN$226,29,0),0)</f>
        <v>0</v>
      </c>
      <c r="AF180" s="11">
        <f>IFERROR(VLOOKUP(E180,'Dự thu chiết khấu'!$L$3:$AO$226,30,0),0)</f>
        <v>10000000</v>
      </c>
    </row>
    <row r="181" spans="1:32">
      <c r="A181" s="11">
        <v>175</v>
      </c>
      <c r="B181" t="str">
        <f>IFERROR(INDEX('Dự thu chiết khấu'!$E:$E,MATCH(E181,'Dự thu chiết khấu'!$L:$L,0)),"")</f>
        <v>Lê Thị Kiều My</v>
      </c>
      <c r="C181" s="51" t="str">
        <f>IFERROR(INDEX('Dự thu chiết khấu'!$F:$F,MATCH(E181,'Dự thu chiết khấu'!$L:$L,0)),"")</f>
        <v>PHAN THỊ QUỲNH LOAN</v>
      </c>
      <c r="D181" s="4" t="str">
        <f>IFERROR(INDEX('Dự thu chiết khấu'!$H:$H,MATCH(E181,'Dự thu chiết khấu'!$L:$L,0)),"")</f>
        <v>MPV 7</v>
      </c>
      <c r="E181" s="4" t="str">
        <f>'Dự thu chiết khấu'!L178</f>
        <v>RLLVFPTT3TH747784</v>
      </c>
      <c r="F181" s="5" t="s">
        <v>112</v>
      </c>
      <c r="G181" s="5" t="str" cm="1">
        <f t="array" ref="G181">IFERROR(INDEX('DT-GV'!$X$6:$X$213,MATCH(1,('DT-GV'!$H$6:$H$213=E181)*('DT-GV'!$R$6:$R$213&lt;&gt;0),0)),IFERROR(VLOOKUP(E181,'DT-GV'!$H$6:$X$213,17,0),""))</f>
        <v>BLKD</v>
      </c>
      <c r="H181" s="6" t="str">
        <f>VLOOKUP(E181,'Dự thu chiết khấu'!$L$3:$M$226,2,0)</f>
        <v>S11001</v>
      </c>
      <c r="I181">
        <v>1</v>
      </c>
      <c r="J181" s="11">
        <f>VLOOKUP(E181,'Dự thu chiết khấu'!$L$3:$P$226,5,0)</f>
        <v>819000000</v>
      </c>
      <c r="K181" s="12">
        <f t="shared" si="20"/>
        <v>49140000</v>
      </c>
      <c r="L181" s="12">
        <f t="shared" si="21"/>
        <v>0</v>
      </c>
      <c r="M181" s="13">
        <f>IFERROR(VLOOKUP(E181,'Dự thu chiết khấu'!$L$3:$R$226,7,0),0)</f>
        <v>0</v>
      </c>
      <c r="N181" s="14">
        <f>IFERROR(VLOOKUP(E181,'Dự thu chiết khấu'!$L$3:$S$226,8,0),0)</f>
        <v>0</v>
      </c>
      <c r="O181" s="11">
        <f>IF(IFERROR(VLOOKUP(E181,'Dự thu chiết khấu'!$L$3:$T$226,9,0),0)&gt;0,J181*$O$5,0)</f>
        <v>0</v>
      </c>
      <c r="P181" s="13">
        <f>IFERROR(VLOOKUP(E181,'Dự thu chiết khấu'!$L$3:$U$226,10,0),0)</f>
        <v>0</v>
      </c>
      <c r="Q181" s="12">
        <f>IFERROR(VLOOKUP(E181,'Dự thu chiết khấu'!$L$3:$V$226,11,0),0)</f>
        <v>0</v>
      </c>
      <c r="R181" s="12">
        <f>VLOOKUP($E181,'Dự thu chiết khấu'!$L$3:$W$226,12,0)</f>
        <v>0</v>
      </c>
      <c r="S181" s="12">
        <f t="shared" si="17"/>
        <v>699872727.27272725</v>
      </c>
      <c r="T181" s="11">
        <f t="shared" si="18"/>
        <v>0.27272725105285645</v>
      </c>
      <c r="U181" s="15">
        <f>SUMIFS('DT-GV'!$N$6:$N$213,'DT-GV'!$H$6:$H$213,E181,'DT-GV'!$R$6:$R$213,"&lt;&gt;0")</f>
        <v>699872727</v>
      </c>
      <c r="V181" s="48">
        <f>SUMIFS('DT-GV'!$N$6:$N$213,'DT-GV'!$H$6:$H$213,E181,'DT-GV'!$R$6:$R$213,0)</f>
        <v>0</v>
      </c>
      <c r="W181" s="15">
        <f>-SUMIFS('DT-GV'!$R$6:$R$213,'DT-GV'!$H$6:$H$213,E181)</f>
        <v>-714763636</v>
      </c>
      <c r="X181" s="11">
        <f>IFERROR(VLOOKUP($E181,'Dự thu chiết khấu'!$L$3:$AK$226,26,0)/1.1,0)</f>
        <v>42885818.18181818</v>
      </c>
      <c r="Y181" s="11">
        <f>IFERROR(VLOOKUP($E181,'Dự thu chiết khấu'!$L$3:$BE$226,46,0)/1.1,0)</f>
        <v>0</v>
      </c>
      <c r="Z181" s="11">
        <f>-SUMIF('Lương năng suất'!$R$4:$R$208,E181,'Lương năng suất'!$AQ$4:$AQ$208)</f>
        <v>-12000000</v>
      </c>
      <c r="AA181" s="213" t="str">
        <f>IFERROR(IF(ISNUMBER(SEARCH("TẶNG",VLOOKUP(E181,'Dự thu chiết khấu'!$L$3:$AV$226,37,0))),"TẶNG",""),"")</f>
        <v>TẶNG</v>
      </c>
      <c r="AB181" s="213" t="str">
        <f>IFERROR(IF(ISNUMBER(SEARCH("TẶNG",VLOOKUP(E181,'Dự thu chiết khấu'!$L$3:$AW$226,38,0))),"TẶNG",""),"")</f>
        <v/>
      </c>
      <c r="AC181" s="49">
        <f t="shared" si="19"/>
        <v>15994909.18181818</v>
      </c>
      <c r="AD181" s="11">
        <f>IFERROR(VLOOKUP(E181,'Dự thu chiết khấu'!$L$3:$AM$226,28,0),0)</f>
        <v>15000000</v>
      </c>
      <c r="AE181" s="11">
        <f>IFERROR(VLOOKUP(E181,'Dự thu chiết khấu'!$L$3:$AN$226,29,0),0)</f>
        <v>0</v>
      </c>
      <c r="AF181" s="11">
        <f>IFERROR(VLOOKUP(E181,'Dự thu chiết khấu'!$L$3:$AO$226,30,0),0)</f>
        <v>0</v>
      </c>
    </row>
    <row r="182" spans="1:32">
      <c r="A182">
        <v>176</v>
      </c>
      <c r="B182" t="str">
        <f>IFERROR(INDEX('Dự thu chiết khấu'!$E:$E,MATCH(E182,'Dự thu chiết khấu'!$L:$L,0)),"")</f>
        <v>Trương Hoàng Khả</v>
      </c>
      <c r="C182" s="51" t="str">
        <f>IFERROR(INDEX('Dự thu chiết khấu'!$F:$F,MATCH(E182,'Dự thu chiết khấu'!$L:$L,0)),"")</f>
        <v>LÊ THANH KHẢI</v>
      </c>
      <c r="D182" s="4" t="str">
        <f>IFERROR(INDEX('Dự thu chiết khấu'!$H:$H,MATCH(E182,'Dự thu chiết khấu'!$L:$L,0)),"")</f>
        <v>VF 6</v>
      </c>
      <c r="E182" s="4" t="str">
        <f>'Dự thu chiết khấu'!L179</f>
        <v>RLLVAG8C6TH747656</v>
      </c>
      <c r="F182" s="5" t="s">
        <v>112</v>
      </c>
      <c r="G182" s="5" t="str" cm="1">
        <f t="array" ref="G182">IFERROR(INDEX('DT-GV'!$X$6:$X$213,MATCH(1,('DT-GV'!$H$6:$H$213=E182)*('DT-GV'!$R$6:$R$213&lt;&gt;0),0)),IFERROR(VLOOKUP(E182,'DT-GV'!$H$6:$X$213,17,0),""))</f>
        <v>BLKD</v>
      </c>
      <c r="H182" s="7" t="str">
        <f>VLOOKUP(E182,'Dự thu chiết khấu'!$L$3:$M$226,2,0)</f>
        <v>S11001</v>
      </c>
      <c r="I182">
        <v>1</v>
      </c>
      <c r="J182" s="11">
        <f>VLOOKUP(E182,'Dự thu chiết khấu'!$L$3:$P$226,5,0)</f>
        <v>745000000</v>
      </c>
      <c r="K182" s="12">
        <f t="shared" si="20"/>
        <v>44700000</v>
      </c>
      <c r="L182" s="12">
        <f t="shared" si="21"/>
        <v>0</v>
      </c>
      <c r="M182" s="13">
        <f>IFERROR(VLOOKUP(E182,'Dự thu chiết khấu'!$L$3:$R$226,7,0),0)</f>
        <v>0</v>
      </c>
      <c r="N182" s="14">
        <f>IFERROR(VLOOKUP(E182,'Dự thu chiết khấu'!$L$3:$S$226,8,0),0)</f>
        <v>0</v>
      </c>
      <c r="O182" s="11">
        <f>IF(IFERROR(VLOOKUP(E182,'Dự thu chiết khấu'!$L$3:$T$226,9,0),0)&gt;0,J182*$O$5,0)</f>
        <v>0</v>
      </c>
      <c r="P182" s="13">
        <f>IFERROR(VLOOKUP(E182,'Dự thu chiết khấu'!$L$3:$U$226,10,0),0)</f>
        <v>0</v>
      </c>
      <c r="Q182" s="12">
        <f>IFERROR(VLOOKUP(E182,'Dự thu chiết khấu'!$L$3:$V$226,11,0),0)</f>
        <v>0</v>
      </c>
      <c r="R182" s="12">
        <f>VLOOKUP($E182,'Dự thu chiết khấu'!$L$3:$W$226,12,0)</f>
        <v>12000000</v>
      </c>
      <c r="S182" s="12">
        <f t="shared" si="17"/>
        <v>625727272.72727263</v>
      </c>
      <c r="T182" s="11">
        <f t="shared" si="18"/>
        <v>-0.272727370262146</v>
      </c>
      <c r="U182" s="15">
        <f>SUMIFS('DT-GV'!$N$6:$N$213,'DT-GV'!$H$6:$H$213,E182,'DT-GV'!$R$6:$R$213,"&lt;&gt;0")</f>
        <v>625727273</v>
      </c>
      <c r="V182" s="48">
        <f>SUMIFS('DT-GV'!$N$6:$N$213,'DT-GV'!$H$6:$H$213,E182,'DT-GV'!$R$6:$R$213,0)</f>
        <v>0</v>
      </c>
      <c r="W182" s="15">
        <f>-SUMIFS('DT-GV'!$R$6:$R$213,'DT-GV'!$H$6:$H$213,E182)</f>
        <v>-650181818</v>
      </c>
      <c r="X182" s="11">
        <f>IFERROR(VLOOKUP($E182,'Dự thu chiết khấu'!$L$3:$AK$226,26,0)/1.1,0)</f>
        <v>39010909.090909086</v>
      </c>
      <c r="Y182" s="11">
        <f>IFERROR(VLOOKUP($E182,'Dự thu chiết khấu'!$L$3:$BE$226,46,0)/1.1,0)</f>
        <v>0</v>
      </c>
      <c r="Z182" s="11">
        <f>-SUMIF('Lương năng suất'!$R$4:$R$208,E182,'Lương năng suất'!$AQ$4:$AQ$208)</f>
        <v>-4800000</v>
      </c>
      <c r="AA182" s="213" t="str">
        <f>IFERROR(IF(ISNUMBER(SEARCH("TẶNG",VLOOKUP(E182,'Dự thu chiết khấu'!$L$3:$AV$226,37,0))),"TẶNG",""),"")</f>
        <v>TẶNG</v>
      </c>
      <c r="AB182" s="213" t="str">
        <f>IFERROR(IF(ISNUMBER(SEARCH("TẶNG",VLOOKUP(E182,'Dự thu chiết khấu'!$L$3:$AW$226,38,0))),"TẶNG",""),"")</f>
        <v/>
      </c>
      <c r="AC182" s="49">
        <f t="shared" si="19"/>
        <v>9756364.0909090862</v>
      </c>
      <c r="AD182" s="11">
        <f>IFERROR(VLOOKUP(E182,'Dự thu chiết khấu'!$L$3:$AM$226,28,0),0)</f>
        <v>0</v>
      </c>
      <c r="AE182" s="11">
        <f>IFERROR(VLOOKUP(E182,'Dự thu chiết khấu'!$L$3:$AN$226,29,0),0)</f>
        <v>0</v>
      </c>
      <c r="AF182" s="11">
        <f>IFERROR(VLOOKUP(E182,'Dự thu chiết khấu'!$L$3:$AO$226,30,0),0)</f>
        <v>0</v>
      </c>
    </row>
    <row r="183" spans="1:32">
      <c r="A183" s="11">
        <v>177</v>
      </c>
      <c r="B183" t="str">
        <f>IFERROR(INDEX('Dự thu chiết khấu'!$E:$E,MATCH(E183,'Dự thu chiết khấu'!$L:$L,0)),"")</f>
        <v>Nguyễn Phước Huy</v>
      </c>
      <c r="C183" s="51" t="str">
        <f>IFERROR(INDEX('Dự thu chiết khấu'!$F:$F,MATCH(E183,'Dự thu chiết khấu'!$L:$L,0)),"")</f>
        <v>MAI THỊ NGỌC TRÂN</v>
      </c>
      <c r="D183" s="4" t="str">
        <f>IFERROR(INDEX('Dự thu chiết khấu'!$H:$H,MATCH(E183,'Dự thu chiết khấu'!$L:$L,0)),"")</f>
        <v>VF 3</v>
      </c>
      <c r="E183" s="4" t="str">
        <f>'Dự thu chiết khấu'!L180</f>
        <v>RLNVBL9K4TT715739</v>
      </c>
      <c r="F183" s="5" t="s">
        <v>112</v>
      </c>
      <c r="G183" s="5" t="str" cm="1">
        <f t="array" ref="G183">IFERROR(INDEX('DT-GV'!$X$6:$X$213,MATCH(1,('DT-GV'!$H$6:$H$213=E183)*('DT-GV'!$R$6:$R$213&lt;&gt;0),0)),IFERROR(VLOOKUP(E183,'DT-GV'!$H$6:$X$213,17,0),""))</f>
        <v>BLKD</v>
      </c>
      <c r="H183" s="6" t="str">
        <f>VLOOKUP(E183,'Dự thu chiết khấu'!$L$3:$M$226,2,0)</f>
        <v>S11001</v>
      </c>
      <c r="I183">
        <v>1</v>
      </c>
      <c r="J183" s="11">
        <f>VLOOKUP(E183,'Dự thu chiết khấu'!$L$3:$P$226,5,0)</f>
        <v>302000000</v>
      </c>
      <c r="K183" s="12">
        <f t="shared" si="20"/>
        <v>18120000</v>
      </c>
      <c r="L183" s="12">
        <f t="shared" si="21"/>
        <v>0</v>
      </c>
      <c r="M183" s="13">
        <f>IFERROR(VLOOKUP(E183,'Dự thu chiết khấu'!$L$3:$R$226,7,0),0)</f>
        <v>0</v>
      </c>
      <c r="N183" s="14">
        <f>IFERROR(VLOOKUP(E183,'Dự thu chiết khấu'!$L$3:$S$226,8,0),0)</f>
        <v>0</v>
      </c>
      <c r="O183" s="11">
        <f>IF(IFERROR(VLOOKUP(E183,'Dự thu chiết khấu'!$L$3:$T$226,9,0),0)&gt;0,J183*$O$5,0)</f>
        <v>0</v>
      </c>
      <c r="P183" s="13">
        <f>IFERROR(VLOOKUP(E183,'Dự thu chiết khấu'!$L$3:$U$226,10,0),0)</f>
        <v>0</v>
      </c>
      <c r="Q183" s="12">
        <f>IFERROR(VLOOKUP(E183,'Dự thu chiết khấu'!$L$3:$V$226,11,0),0)</f>
        <v>0</v>
      </c>
      <c r="R183" s="12">
        <f>VLOOKUP($E183,'Dự thu chiết khấu'!$L$3:$W$226,12,0)</f>
        <v>6000000</v>
      </c>
      <c r="S183" s="12">
        <f t="shared" si="17"/>
        <v>252618181.81818178</v>
      </c>
      <c r="T183" s="11">
        <f t="shared" si="18"/>
        <v>-0.18181821703910828</v>
      </c>
      <c r="U183" s="15">
        <f>SUMIFS('DT-GV'!$N$6:$N$213,'DT-GV'!$H$6:$H$213,E183,'DT-GV'!$R$6:$R$213,"&lt;&gt;0")</f>
        <v>252618182</v>
      </c>
      <c r="V183" s="48">
        <f>SUMIFS('DT-GV'!$N$6:$N$213,'DT-GV'!$H$6:$H$213,E183,'DT-GV'!$R$6:$R$213,0)</f>
        <v>0</v>
      </c>
      <c r="W183" s="15">
        <f>-SUMIFS('DT-GV'!$R$6:$R$213,'DT-GV'!$H$6:$H$213,E183)</f>
        <v>-263563636</v>
      </c>
      <c r="X183" s="11">
        <f>IFERROR(VLOOKUP($E183,'Dự thu chiết khấu'!$L$3:$AK$226,26,0)/1.1,0)</f>
        <v>15813818.18181818</v>
      </c>
      <c r="Y183" s="11">
        <f>IFERROR(VLOOKUP($E183,'Dự thu chiết khấu'!$L$3:$BE$226,46,0)/1.1,0)</f>
        <v>0</v>
      </c>
      <c r="Z183" s="11">
        <f>-SUMIF('Lương năng suất'!$R$4:$R$208,E183,'Lương năng suất'!$AQ$4:$AQ$208)</f>
        <v>-1200000</v>
      </c>
      <c r="AA183" s="213" t="str">
        <f>IFERROR(IF(ISNUMBER(SEARCH("TẶNG",VLOOKUP(E183,'Dự thu chiết khấu'!$L$3:$AV$226,37,0))),"TẶNG",""),"")</f>
        <v/>
      </c>
      <c r="AB183" s="213" t="str">
        <f>IFERROR(IF(ISNUMBER(SEARCH("TẶNG",VLOOKUP(E183,'Dự thu chiết khấu'!$L$3:$AW$226,38,0))),"TẶNG",""),"")</f>
        <v/>
      </c>
      <c r="AC183" s="49">
        <f t="shared" si="19"/>
        <v>3668364.1818181798</v>
      </c>
      <c r="AD183" s="11">
        <f>IFERROR(VLOOKUP(E183,'Dự thu chiết khấu'!$L$3:$AM$226,28,0),0)</f>
        <v>0</v>
      </c>
      <c r="AE183" s="11">
        <f>IFERROR(VLOOKUP(E183,'Dự thu chiết khấu'!$L$3:$AN$226,29,0),0)</f>
        <v>0</v>
      </c>
      <c r="AF183" s="11">
        <f>IFERROR(VLOOKUP(E183,'Dự thu chiết khấu'!$L$3:$AO$226,30,0),0)</f>
        <v>0</v>
      </c>
    </row>
    <row r="184" spans="1:32">
      <c r="A184">
        <v>178</v>
      </c>
      <c r="B184" t="str">
        <f>IFERROR(INDEX('Dự thu chiết khấu'!$E:$E,MATCH(E184,'Dự thu chiết khấu'!$L:$L,0)),"")</f>
        <v>Nguyễn Phương Linh</v>
      </c>
      <c r="C184" s="51" t="str">
        <f>IFERROR(INDEX('Dự thu chiết khấu'!$F:$F,MATCH(E184,'Dự thu chiết khấu'!$L:$L,0)),"")</f>
        <v>Đặng Quang Định</v>
      </c>
      <c r="D184" s="4" t="str">
        <f>IFERROR(INDEX('Dự thu chiết khấu'!$H:$H,MATCH(E184,'Dự thu chiết khấu'!$L:$L,0)),"")</f>
        <v>VF 3</v>
      </c>
      <c r="E184" s="4" t="str">
        <f>'Dự thu chiết khấu'!L181</f>
        <v>RLNVBL9K9ST717551</v>
      </c>
      <c r="F184" s="5" t="s">
        <v>138</v>
      </c>
      <c r="G184" s="5" t="str" cm="1">
        <f t="array" ref="G184">IFERROR(INDEX('DT-GV'!$X$6:$X$213,MATCH(1,('DT-GV'!$H$6:$H$213=E184)*('DT-GV'!$R$6:$R$213&lt;&gt;0),0)),IFERROR(VLOOKUP(E184,'DT-GV'!$H$6:$X$213,17,0),""))</f>
        <v>Q9KD</v>
      </c>
      <c r="H184" s="7" t="str">
        <f>VLOOKUP(E184,'Dự thu chiết khấu'!$L$3:$M$226,2,0)</f>
        <v>S11007</v>
      </c>
      <c r="I184">
        <v>1</v>
      </c>
      <c r="J184" s="11">
        <f>VLOOKUP(E184,'Dự thu chiết khấu'!$L$3:$P$226,5,0)</f>
        <v>310000000</v>
      </c>
      <c r="K184" s="12">
        <f t="shared" si="20"/>
        <v>18600000</v>
      </c>
      <c r="L184" s="12">
        <f t="shared" si="21"/>
        <v>0</v>
      </c>
      <c r="M184" s="13">
        <f>IFERROR(VLOOKUP(E184,'Dự thu chiết khấu'!$L$3:$R$226,7,0),0)</f>
        <v>0</v>
      </c>
      <c r="N184" s="14">
        <f>IFERROR(VLOOKUP(E184,'Dự thu chiết khấu'!$L$3:$S$226,8,0),0)</f>
        <v>0</v>
      </c>
      <c r="O184" s="11">
        <f>IF(IFERROR(VLOOKUP(E184,'Dự thu chiết khấu'!$L$3:$T$226,9,0),0)&gt;0,J184*$O$5,0)</f>
        <v>9300000</v>
      </c>
      <c r="P184" s="13">
        <f>IFERROR(VLOOKUP(E184,'Dự thu chiết khấu'!$L$3:$U$226,10,0),0)</f>
        <v>0</v>
      </c>
      <c r="Q184" s="12">
        <f>IFERROR(VLOOKUP(E184,'Dự thu chiết khấu'!$L$3:$V$226,11,0),0)</f>
        <v>18000000</v>
      </c>
      <c r="R184" s="12">
        <f>VLOOKUP($E184,'Dự thu chiết khấu'!$L$3:$W$226,12,0)</f>
        <v>0</v>
      </c>
      <c r="S184" s="12">
        <f t="shared" si="17"/>
        <v>240090909.09090906</v>
      </c>
      <c r="T184" s="11">
        <f t="shared" si="18"/>
        <v>9.0909063816070557E-2</v>
      </c>
      <c r="U184" s="15">
        <f>SUMIFS('DT-GV'!$N$6:$N$213,'DT-GV'!$H$6:$H$213,E184,'DT-GV'!$R$6:$R$213,"&lt;&gt;0")</f>
        <v>240090909</v>
      </c>
      <c r="V184" s="48">
        <f>SUMIFS('DT-GV'!$N$6:$N$213,'DT-GV'!$H$6:$H$213,E184,'DT-GV'!$R$6:$R$213,0)</f>
        <v>0</v>
      </c>
      <c r="W184" s="15">
        <f>-SUMIFS('DT-GV'!$R$6:$R$213,'DT-GV'!$H$6:$H$213,E184)</f>
        <v>-270545455</v>
      </c>
      <c r="X184" s="11">
        <f>IFERROR(VLOOKUP($E184,'Dự thu chiết khấu'!$L$3:$AK$226,26,0)/1.1,0)</f>
        <v>40058181.818181813</v>
      </c>
      <c r="Y184" s="11">
        <f>IFERROR(VLOOKUP($E184,'Dự thu chiết khấu'!$L$3:$BE$226,46,0)/1.1,0)</f>
        <v>2400909.0909090908</v>
      </c>
      <c r="Z184" s="11">
        <f>-SUMIF('Lương năng suất'!$R$4:$R$208,E184,'Lương năng suất'!$AQ$4:$AQ$208)</f>
        <v>-6400000</v>
      </c>
      <c r="AA184" s="213" t="str">
        <f>IFERROR(IF(ISNUMBER(SEARCH("TẶNG",VLOOKUP(E184,'Dự thu chiết khấu'!$L$3:$AV$226,37,0))),"TẶNG",""),"")</f>
        <v/>
      </c>
      <c r="AB184" s="213" t="str">
        <f>IFERROR(IF(ISNUMBER(SEARCH("TẶNG",VLOOKUP(E184,'Dự thu chiết khấu'!$L$3:$AW$226,38,0))),"TẶNG",""),"")</f>
        <v/>
      </c>
      <c r="AC184" s="49">
        <f t="shared" si="19"/>
        <v>5604544.9090909027</v>
      </c>
      <c r="AD184" s="11">
        <f>IFERROR(VLOOKUP(E184,'Dự thu chiết khấu'!$L$3:$AM$226,28,0),0)</f>
        <v>0</v>
      </c>
      <c r="AE184" s="11">
        <f>IFERROR(VLOOKUP(E184,'Dự thu chiết khấu'!$L$3:$AN$226,29,0),0)</f>
        <v>0</v>
      </c>
      <c r="AF184" s="11">
        <f>IFERROR(VLOOKUP(E184,'Dự thu chiết khấu'!$L$3:$AO$226,30,0),0)</f>
        <v>0</v>
      </c>
    </row>
    <row r="185" spans="1:32">
      <c r="A185" s="11">
        <v>179</v>
      </c>
      <c r="B185" t="str">
        <f>IFERROR(INDEX('Dự thu chiết khấu'!$E:$E,MATCH(E185,'Dự thu chiết khấu'!$L:$L,0)),"")</f>
        <v>Trịnh Thị Thu Huyền</v>
      </c>
      <c r="C185" s="51" t="str">
        <f>IFERROR(INDEX('Dự thu chiết khấu'!$F:$F,MATCH(E185,'Dự thu chiết khấu'!$L:$L,0)),"")</f>
        <v>Võ Thụy Thu Hà</v>
      </c>
      <c r="D185" s="4" t="str">
        <f>IFERROR(INDEX('Dự thu chiết khấu'!$H:$H,MATCH(E185,'Dự thu chiết khấu'!$L:$L,0)),"")</f>
        <v>VF 3</v>
      </c>
      <c r="E185" s="4" t="str">
        <f>'Dự thu chiết khấu'!L182</f>
        <v>RLNVBL9KXTT716605</v>
      </c>
      <c r="F185" s="5" t="s">
        <v>138</v>
      </c>
      <c r="G185" s="5" t="str" cm="1">
        <f t="array" ref="G185">IFERROR(INDEX('DT-GV'!$X$6:$X$213,MATCH(1,('DT-GV'!$H$6:$H$213=E185)*('DT-GV'!$R$6:$R$213&lt;&gt;0),0)),IFERROR(VLOOKUP(E185,'DT-GV'!$H$6:$X$213,17,0),""))</f>
        <v>Q9KD</v>
      </c>
      <c r="H185" s="6" t="str">
        <f>VLOOKUP(E185,'Dự thu chiết khấu'!$L$3:$M$226,2,0)</f>
        <v>S11007</v>
      </c>
      <c r="I185">
        <v>1</v>
      </c>
      <c r="J185" s="11">
        <f>VLOOKUP(E185,'Dự thu chiết khấu'!$L$3:$P$226,5,0)</f>
        <v>323000000</v>
      </c>
      <c r="K185" s="12">
        <f t="shared" si="20"/>
        <v>19380000</v>
      </c>
      <c r="L185" s="12">
        <f t="shared" si="21"/>
        <v>0</v>
      </c>
      <c r="M185" s="13">
        <f>IFERROR(VLOOKUP(E185,'Dự thu chiết khấu'!$L$3:$R$226,7,0),0)</f>
        <v>0</v>
      </c>
      <c r="N185" s="14">
        <f>IFERROR(VLOOKUP(E185,'Dự thu chiết khấu'!$L$3:$S$226,8,0),0)</f>
        <v>0</v>
      </c>
      <c r="O185" s="11">
        <f>IF(IFERROR(VLOOKUP(E185,'Dự thu chiết khấu'!$L$3:$T$226,9,0),0)&gt;0,J185*$O$5,0)</f>
        <v>9690000</v>
      </c>
      <c r="P185" s="13">
        <f>IFERROR(VLOOKUP(E185,'Dự thu chiết khấu'!$L$3:$U$226,10,0),0)</f>
        <v>0.05</v>
      </c>
      <c r="Q185" s="12">
        <f>IFERROR(VLOOKUP(E185,'Dự thu chiết khấu'!$L$3:$V$226,11,0),0)</f>
        <v>0</v>
      </c>
      <c r="R185" s="12">
        <f>VLOOKUP($E185,'Dự thu chiết khấu'!$L$3:$W$226,12,0)</f>
        <v>0</v>
      </c>
      <c r="S185" s="12">
        <f t="shared" si="17"/>
        <v>252527272.72727272</v>
      </c>
      <c r="T185" s="11">
        <f t="shared" si="18"/>
        <v>-0.27272728085517883</v>
      </c>
      <c r="U185" s="15">
        <f>SUMIFS('DT-GV'!$N$6:$N$213,'DT-GV'!$H$6:$H$213,E185,'DT-GV'!$R$6:$R$213,"&lt;&gt;0")</f>
        <v>252527273</v>
      </c>
      <c r="V185" s="48">
        <f>SUMIFS('DT-GV'!$N$6:$N$213,'DT-GV'!$H$6:$H$213,E185,'DT-GV'!$R$6:$R$213,0)</f>
        <v>0</v>
      </c>
      <c r="W185" s="15">
        <f>-SUMIFS('DT-GV'!$R$6:$R$213,'DT-GV'!$H$6:$H$213,E185)</f>
        <v>-281890909</v>
      </c>
      <c r="X185" s="11">
        <f>IFERROR(VLOOKUP($E185,'Dự thu chiết khấu'!$L$3:$AK$226,26,0)/1.1,0)</f>
        <v>32123818.18181818</v>
      </c>
      <c r="Y185" s="11">
        <f>IFERROR(VLOOKUP($E185,'Dự thu chiết khấu'!$L$3:$BE$226,46,0)/1.1,0)</f>
        <v>2525272.7272727271</v>
      </c>
      <c r="Z185" s="11">
        <f>-SUMIF('Lương năng suất'!$R$4:$R$208,E185,'Lương năng suất'!$AQ$4:$AQ$208)</f>
        <v>-680000</v>
      </c>
      <c r="AA185" s="213" t="str">
        <f>IFERROR(IF(ISNUMBER(SEARCH("TẶNG",VLOOKUP(E185,'Dự thu chiết khấu'!$L$3:$AV$226,37,0))),"TẶNG",""),"")</f>
        <v/>
      </c>
      <c r="AB185" s="213" t="str">
        <f>IFERROR(IF(ISNUMBER(SEARCH("TẶNG",VLOOKUP(E185,'Dự thu chiết khấu'!$L$3:$AW$226,38,0))),"TẶNG",""),"")</f>
        <v/>
      </c>
      <c r="AC185" s="49">
        <f t="shared" si="19"/>
        <v>4605454.9090909064</v>
      </c>
      <c r="AD185" s="11">
        <f>IFERROR(VLOOKUP(E185,'Dự thu chiết khấu'!$L$3:$AM$226,28,0),0)</f>
        <v>0</v>
      </c>
      <c r="AE185" s="11">
        <f>IFERROR(VLOOKUP(E185,'Dự thu chiết khấu'!$L$3:$AN$226,29,0),0)</f>
        <v>0</v>
      </c>
      <c r="AF185" s="11">
        <f>IFERROR(VLOOKUP(E185,'Dự thu chiết khấu'!$L$3:$AO$226,30,0),0)</f>
        <v>0</v>
      </c>
    </row>
    <row r="186" spans="1:32">
      <c r="A186">
        <v>180</v>
      </c>
      <c r="B186" t="str">
        <f>IFERROR(INDEX('Dự thu chiết khấu'!$E:$E,MATCH(E186,'Dự thu chiết khấu'!$L:$L,0)),"")</f>
        <v>Phạm Hoàng Long</v>
      </c>
      <c r="C186" s="51" t="str">
        <f>IFERROR(INDEX('Dự thu chiết khấu'!$F:$F,MATCH(E186,'Dự thu chiết khấu'!$L:$L,0)),"")</f>
        <v>Nguyễn Thanh Sang</v>
      </c>
      <c r="D186" s="4" t="str">
        <f>IFERROR(INDEX('Dự thu chiết khấu'!$H:$H,MATCH(E186,'Dự thu chiết khấu'!$L:$L,0)),"")</f>
        <v>LIMO GREEN</v>
      </c>
      <c r="E186" s="4" t="str">
        <f>'Dự thu chiết khấu'!L183</f>
        <v>RLLVFPNT7TH704742</v>
      </c>
      <c r="F186" s="5" t="s">
        <v>138</v>
      </c>
      <c r="G186" s="5" t="str" cm="1">
        <f t="array" ref="G186">IFERROR(INDEX('DT-GV'!$X$6:$X$213,MATCH(1,('DT-GV'!$H$6:$H$213=E186)*('DT-GV'!$R$6:$R$213&lt;&gt;0),0)),IFERROR(VLOOKUP(E186,'DT-GV'!$H$6:$X$213,17,0),""))</f>
        <v>Q9KD</v>
      </c>
      <c r="H186" s="8" t="str">
        <f>VLOOKUP(E186,'Dự thu chiết khấu'!$L$3:$M$226,2,0)</f>
        <v>S11001</v>
      </c>
      <c r="I186">
        <v>1</v>
      </c>
      <c r="J186" s="11">
        <f>VLOOKUP(E186,'Dự thu chiết khấu'!$L$3:$P$226,5,0)</f>
        <v>749000000</v>
      </c>
      <c r="K186" s="12">
        <f t="shared" si="20"/>
        <v>44940000</v>
      </c>
      <c r="L186" s="12">
        <f t="shared" si="21"/>
        <v>0</v>
      </c>
      <c r="M186" s="13">
        <f>IFERROR(VLOOKUP(E186,'Dự thu chiết khấu'!$L$3:$R$226,7,0),0)</f>
        <v>0</v>
      </c>
      <c r="N186" s="14">
        <f>IFERROR(VLOOKUP(E186,'Dự thu chiết khấu'!$L$3:$S$226,8,0),0)</f>
        <v>0</v>
      </c>
      <c r="O186" s="11">
        <f>IF(IFERROR(VLOOKUP(E186,'Dự thu chiết khấu'!$L$3:$T$226,9,0),0)&gt;0,J186*$O$5,0)</f>
        <v>0</v>
      </c>
      <c r="P186" s="13">
        <f>IFERROR(VLOOKUP(E186,'Dự thu chiết khấu'!$L$3:$U$226,10,0),0)</f>
        <v>0</v>
      </c>
      <c r="Q186" s="12">
        <f>IFERROR(VLOOKUP(E186,'Dự thu chiết khấu'!$L$3:$V$226,11,0),0)</f>
        <v>0</v>
      </c>
      <c r="R186" s="12">
        <f>VLOOKUP($E186,'Dự thu chiết khấu'!$L$3:$W$226,12,0)</f>
        <v>0</v>
      </c>
      <c r="S186" s="12">
        <f t="shared" si="17"/>
        <v>640054545.45454538</v>
      </c>
      <c r="T186" s="11">
        <f t="shared" si="18"/>
        <v>0.45454537868499756</v>
      </c>
      <c r="U186" s="15">
        <f>SUMIFS('DT-GV'!$N$6:$N$213,'DT-GV'!$H$6:$H$213,E186,'DT-GV'!$R$6:$R$213,"&lt;&gt;0")</f>
        <v>640054545</v>
      </c>
      <c r="V186" s="48">
        <f>SUMIFS('DT-GV'!$N$6:$N$213,'DT-GV'!$H$6:$H$213,E186,'DT-GV'!$R$6:$R$213,0)</f>
        <v>0</v>
      </c>
      <c r="W186" s="15">
        <f>-SUMIFS('DT-GV'!$R$6:$R$213,'DT-GV'!$H$6:$H$213,E186)</f>
        <v>-653672727</v>
      </c>
      <c r="X186" s="11">
        <f>IFERROR(VLOOKUP($E186,'Dự thu chiết khấu'!$L$3:$AK$226,26,0)/1.1,0)</f>
        <v>39220363.636363633</v>
      </c>
      <c r="Y186" s="11">
        <f>IFERROR(VLOOKUP($E186,'Dự thu chiết khấu'!$L$3:$BE$226,46,0)/1.1,0)</f>
        <v>0</v>
      </c>
      <c r="Z186" s="11">
        <f>-SUMIF('Lương năng suất'!$R$4:$R$208,E186,'Lương năng suất'!$AQ$4:$AQ$208)</f>
        <v>-16400000</v>
      </c>
      <c r="AA186" s="213" t="str">
        <f>IFERROR(IF(ISNUMBER(SEARCH("TẶNG",VLOOKUP(E186,'Dự thu chiết khấu'!$L$3:$AV$226,37,0))),"TẶNG",""),"")</f>
        <v/>
      </c>
      <c r="AB186" s="213" t="str">
        <f>IFERROR(IF(ISNUMBER(SEARCH("TẶNG",VLOOKUP(E186,'Dự thu chiết khấu'!$L$3:$AW$226,38,0))),"TẶNG",""),"")</f>
        <v/>
      </c>
      <c r="AC186" s="49">
        <f t="shared" si="19"/>
        <v>9202181.636363633</v>
      </c>
      <c r="AD186" s="11">
        <f>IFERROR(VLOOKUP(E186,'Dự thu chiết khấu'!$L$3:$AM$226,28,0),0)</f>
        <v>0</v>
      </c>
      <c r="AE186" s="11">
        <f>IFERROR(VLOOKUP(E186,'Dự thu chiết khấu'!$L$3:$AN$226,29,0),0)</f>
        <v>0</v>
      </c>
      <c r="AF186" s="11">
        <f>IFERROR(VLOOKUP(E186,'Dự thu chiết khấu'!$L$3:$AO$226,30,0),0)</f>
        <v>0</v>
      </c>
    </row>
    <row r="187" spans="1:32">
      <c r="A187" s="11">
        <v>181</v>
      </c>
      <c r="B187" t="str">
        <f>IFERROR(INDEX('Dự thu chiết khấu'!$E:$E,MATCH(E187,'Dự thu chiết khấu'!$L:$L,0)),"")</f>
        <v>Vòng Tạt Lình</v>
      </c>
      <c r="C187" s="51" t="str">
        <f>IFERROR(INDEX('Dự thu chiết khấu'!$F:$F,MATCH(E187,'Dự thu chiết khấu'!$L:$L,0)),"")</f>
        <v>Phạm Thu Hà</v>
      </c>
      <c r="D187" s="4" t="str">
        <f>IFERROR(INDEX('Dự thu chiết khấu'!$H:$H,MATCH(E187,'Dự thu chiết khấu'!$L:$L,0)),"")</f>
        <v>LIMO GREEN</v>
      </c>
      <c r="E187" s="4" t="str">
        <f>'Dự thu chiết khấu'!L184</f>
        <v>RLLVFPNT3SH894909</v>
      </c>
      <c r="F187" s="5" t="s">
        <v>138</v>
      </c>
      <c r="G187" s="5" t="str" cm="1">
        <f t="array" ref="G187">IFERROR(INDEX('DT-GV'!$X$6:$X$213,MATCH(1,('DT-GV'!$H$6:$H$213=E187)*('DT-GV'!$R$6:$R$213&lt;&gt;0),0)),IFERROR(VLOOKUP(E187,'DT-GV'!$H$6:$X$213,17,0),""))</f>
        <v>Q9KD</v>
      </c>
      <c r="H187" s="6" t="str">
        <f>VLOOKUP(E187,'Dự thu chiết khấu'!$L$3:$M$226,2,0)</f>
        <v>S11007</v>
      </c>
      <c r="I187">
        <v>1</v>
      </c>
      <c r="J187" s="11">
        <f>VLOOKUP(E187,'Dự thu chiết khấu'!$L$3:$P$226,5,0)</f>
        <v>749000000</v>
      </c>
      <c r="K187" s="12">
        <f t="shared" si="20"/>
        <v>44940000</v>
      </c>
      <c r="L187" s="12">
        <f t="shared" si="21"/>
        <v>0</v>
      </c>
      <c r="M187" s="13">
        <f>IFERROR(VLOOKUP(E187,'Dự thu chiết khấu'!$L$3:$R$226,7,0),0)</f>
        <v>0</v>
      </c>
      <c r="N187" s="14">
        <f>IFERROR(VLOOKUP(E187,'Dự thu chiết khấu'!$L$3:$S$226,8,0),0)</f>
        <v>5.0000000000000001E-3</v>
      </c>
      <c r="O187" s="11">
        <f>IF(IFERROR(VLOOKUP(E187,'Dự thu chiết khấu'!$L$3:$T$226,9,0),0)&gt;0,J187*$O$5,0)</f>
        <v>0</v>
      </c>
      <c r="P187" s="13">
        <f>IFERROR(VLOOKUP(E187,'Dự thu chiết khấu'!$L$3:$U$226,10,0),0)</f>
        <v>0</v>
      </c>
      <c r="Q187" s="12">
        <f>IFERROR(VLOOKUP(E187,'Dự thu chiết khấu'!$L$3:$V$226,11,0),0)</f>
        <v>15000000</v>
      </c>
      <c r="R187" s="12">
        <f>VLOOKUP($E187,'Dự thu chiết khấu'!$L$3:$W$226,12,0)</f>
        <v>10000000</v>
      </c>
      <c r="S187" s="12">
        <f t="shared" si="17"/>
        <v>614195181.81818175</v>
      </c>
      <c r="T187" s="11">
        <f t="shared" si="18"/>
        <v>-0.18181824684143066</v>
      </c>
      <c r="U187" s="15">
        <f>SUMIFS('DT-GV'!$N$6:$N$213,'DT-GV'!$H$6:$H$213,E187,'DT-GV'!$R$6:$R$213,"&lt;&gt;0")</f>
        <v>614195182</v>
      </c>
      <c r="V187" s="48">
        <f>SUMIFS('DT-GV'!$N$6:$N$213,'DT-GV'!$H$6:$H$213,E187,'DT-GV'!$R$6:$R$213,0)</f>
        <v>0</v>
      </c>
      <c r="W187" s="15">
        <f>-SUMIFS('DT-GV'!$R$6:$R$213,'DT-GV'!$H$6:$H$213,E187)</f>
        <v>-653672727</v>
      </c>
      <c r="X187" s="11">
        <f>IFERROR(VLOOKUP($E187,'Dự thu chiết khấu'!$L$3:$AK$226,26,0)/1.1,0)</f>
        <v>55318079.999999993</v>
      </c>
      <c r="Y187" s="11">
        <f>IFERROR(VLOOKUP($E187,'Dự thu chiết khấu'!$L$3:$BE$226,46,0)/1.1,0)</f>
        <v>6232860.9090909082</v>
      </c>
      <c r="Z187" s="11">
        <f>-SUMIF('Lương năng suất'!$R$4:$R$208,E187,'Lương năng suất'!$AQ$4:$AQ$208)</f>
        <v>-14000000</v>
      </c>
      <c r="AA187" s="213" t="str">
        <f>IFERROR(IF(ISNUMBER(SEARCH("TẶNG",VLOOKUP(E187,'Dự thu chiết khấu'!$L$3:$AV$226,37,0))),"TẶNG",""),"")</f>
        <v/>
      </c>
      <c r="AB187" s="213" t="str">
        <f>IFERROR(IF(ISNUMBER(SEARCH("TẶNG",VLOOKUP(E187,'Dự thu chiết khấu'!$L$3:$AW$226,38,0))),"TẶNG",""),"")</f>
        <v/>
      </c>
      <c r="AC187" s="49">
        <f t="shared" si="19"/>
        <v>8073395.9090908989</v>
      </c>
      <c r="AD187" s="11">
        <f>IFERROR(VLOOKUP(E187,'Dự thu chiết khấu'!$L$3:$AM$226,28,0),0)</f>
        <v>0</v>
      </c>
      <c r="AE187" s="11">
        <f>IFERROR(VLOOKUP(E187,'Dự thu chiết khấu'!$L$3:$AN$226,29,0),0)</f>
        <v>0</v>
      </c>
      <c r="AF187" s="11">
        <f>IFERROR(VLOOKUP(E187,'Dự thu chiết khấu'!$L$3:$AO$226,30,0),0)</f>
        <v>0</v>
      </c>
    </row>
    <row r="188" spans="1:32">
      <c r="A188">
        <v>182</v>
      </c>
      <c r="B188" t="str">
        <f>IFERROR(INDEX('Dự thu chiết khấu'!$E:$E,MATCH(E188,'Dự thu chiết khấu'!$L:$L,0)),"")</f>
        <v>Phạm Nguyễn Viết Khánh</v>
      </c>
      <c r="C188" s="51" t="str">
        <f>IFERROR(INDEX('Dự thu chiết khấu'!$F:$F,MATCH(E188,'Dự thu chiết khấu'!$L:$L,0)),"")</f>
        <v>Công ty TNHH Giấy Xuân Mai</v>
      </c>
      <c r="D188" s="4" t="str">
        <f>IFERROR(INDEX('Dự thu chiết khấu'!$H:$H,MATCH(E188,'Dự thu chiết khấu'!$L:$L,0)),"")</f>
        <v>MPV 7</v>
      </c>
      <c r="E188" s="4" t="str">
        <f>'Dự thu chiết khấu'!L185</f>
        <v>RLLVFPTT4TH740665</v>
      </c>
      <c r="F188" s="5" t="s">
        <v>138</v>
      </c>
      <c r="G188" s="5" t="str" cm="1">
        <f t="array" ref="G188">IFERROR(INDEX('DT-GV'!$X$6:$X$213,MATCH(1,('DT-GV'!$H$6:$H$213=E188)*('DT-GV'!$R$6:$R$213&lt;&gt;0),0)),IFERROR(VLOOKUP(E188,'DT-GV'!$H$6:$X$213,17,0),""))</f>
        <v>Q9KD</v>
      </c>
      <c r="H188" s="8" t="str">
        <f>VLOOKUP(E188,'Dự thu chiết khấu'!$L$3:$M$226,2,0)</f>
        <v>S11001</v>
      </c>
      <c r="I188">
        <v>1</v>
      </c>
      <c r="J188" s="11">
        <f>VLOOKUP(E188,'Dự thu chiết khấu'!$L$3:$P$226,5,0)</f>
        <v>819000000</v>
      </c>
      <c r="K188" s="12">
        <f t="shared" si="20"/>
        <v>49140000</v>
      </c>
      <c r="L188" s="12">
        <f t="shared" si="21"/>
        <v>0</v>
      </c>
      <c r="M188" s="13">
        <f>IFERROR(VLOOKUP(E188,'Dự thu chiết khấu'!$L$3:$R$226,7,0),0)</f>
        <v>0</v>
      </c>
      <c r="N188" s="14">
        <f>IFERROR(VLOOKUP(E188,'Dự thu chiết khấu'!$L$3:$S$226,8,0),0)</f>
        <v>0</v>
      </c>
      <c r="O188" s="11">
        <f>IF(IFERROR(VLOOKUP(E188,'Dự thu chiết khấu'!$L$3:$T$226,9,0),0)&gt;0,J188*$O$5,0)</f>
        <v>24570000</v>
      </c>
      <c r="P188" s="13">
        <f>IFERROR(VLOOKUP(E188,'Dự thu chiết khấu'!$L$3:$U$226,10,0),0)</f>
        <v>0</v>
      </c>
      <c r="Q188" s="12">
        <f>IFERROR(VLOOKUP(E188,'Dự thu chiết khấu'!$L$3:$V$226,11,0),0)</f>
        <v>0</v>
      </c>
      <c r="R188" s="12">
        <f>VLOOKUP($E188,'Dự thu chiết khấu'!$L$3:$W$226,12,0)</f>
        <v>0</v>
      </c>
      <c r="S188" s="12">
        <f t="shared" si="17"/>
        <v>677536363.63636363</v>
      </c>
      <c r="T188" s="11">
        <f t="shared" si="18"/>
        <v>-0.36363637447357178</v>
      </c>
      <c r="U188" s="15">
        <f>SUMIFS('DT-GV'!$N$6:$N$213,'DT-GV'!$H$6:$H$213,E188,'DT-GV'!$R$6:$R$213,"&lt;&gt;0")</f>
        <v>677536364</v>
      </c>
      <c r="V188" s="48">
        <f>SUMIFS('DT-GV'!$N$6:$N$213,'DT-GV'!$H$6:$H$213,E188,'DT-GV'!$R$6:$R$213,0)</f>
        <v>0</v>
      </c>
      <c r="W188" s="15">
        <f>-SUMIFS('DT-GV'!$R$6:$R$213,'DT-GV'!$H$6:$H$213,E188)</f>
        <v>-714763636</v>
      </c>
      <c r="X188" s="11">
        <f>IFERROR(VLOOKUP($E188,'Dự thu chiết khấu'!$L$3:$AK$226,26,0)/1.1,0)</f>
        <v>64328727.272727266</v>
      </c>
      <c r="Y188" s="11">
        <f>IFERROR(VLOOKUP($E188,'Dự thu chiết khấu'!$L$3:$BE$226,46,0)/1.1,0)</f>
        <v>0</v>
      </c>
      <c r="Z188" s="11">
        <f>-SUMIF('Lương năng suất'!$R$4:$R$208,E188,'Lương năng suất'!$AQ$4:$AQ$208)</f>
        <v>-16000000</v>
      </c>
      <c r="AA188" s="213" t="str">
        <f>IFERROR(IF(ISNUMBER(SEARCH("TẶNG",VLOOKUP(E188,'Dự thu chiết khấu'!$L$3:$AV$226,37,0))),"TẶNG",""),"")</f>
        <v/>
      </c>
      <c r="AB188" s="213" t="str">
        <f>IFERROR(IF(ISNUMBER(SEARCH("TẶNG",VLOOKUP(E188,'Dự thu chiết khấu'!$L$3:$AW$226,38,0))),"TẶNG",""),"")</f>
        <v/>
      </c>
      <c r="AC188" s="49">
        <f t="shared" si="19"/>
        <v>11101455.272727266</v>
      </c>
      <c r="AD188" s="11">
        <f>IFERROR(VLOOKUP(E188,'Dự thu chiết khấu'!$L$3:$AM$226,28,0),0)</f>
        <v>0</v>
      </c>
      <c r="AE188" s="11">
        <f>IFERROR(VLOOKUP(E188,'Dự thu chiết khấu'!$L$3:$AN$226,29,0),0)</f>
        <v>15000000</v>
      </c>
      <c r="AF188" s="11">
        <f>IFERROR(VLOOKUP(E188,'Dự thu chiết khấu'!$L$3:$AO$226,30,0),0)</f>
        <v>0</v>
      </c>
    </row>
    <row r="189" spans="1:32">
      <c r="A189" s="11">
        <v>183</v>
      </c>
      <c r="B189" t="str">
        <f>IFERROR(INDEX('Dự thu chiết khấu'!$E:$E,MATCH(E189,'Dự thu chiết khấu'!$L:$L,0)),"")</f>
        <v>Võ Hoài Nhật</v>
      </c>
      <c r="C189" s="51" t="str">
        <f>IFERROR(INDEX('Dự thu chiết khấu'!$F:$F,MATCH(E189,'Dự thu chiết khấu'!$L:$L,0)),"")</f>
        <v>Nguyễn Thị Kim Ngân</v>
      </c>
      <c r="D189" s="4" t="str">
        <f>IFERROR(INDEX('Dự thu chiết khấu'!$H:$H,MATCH(E189,'Dự thu chiết khấu'!$L:$L,0)),"")</f>
        <v>VF 3</v>
      </c>
      <c r="E189" s="4" t="str">
        <f>'Dự thu chiết khấu'!L186</f>
        <v>RLNVBL9KXTT715969</v>
      </c>
      <c r="F189" s="5" t="s">
        <v>138</v>
      </c>
      <c r="G189" s="5" t="str" cm="1">
        <f t="array" ref="G189">IFERROR(INDEX('DT-GV'!$X$6:$X$213,MATCH(1,('DT-GV'!$H$6:$H$213=E189)*('DT-GV'!$R$6:$R$213&lt;&gt;0),0)),IFERROR(VLOOKUP(E189,'DT-GV'!$H$6:$X$213,17,0),""))</f>
        <v>Q9KD</v>
      </c>
      <c r="H189" s="9" t="str">
        <f>VLOOKUP(E189,'Dự thu chiết khấu'!$L$3:$M$226,2,0)</f>
        <v>S11008</v>
      </c>
      <c r="I189">
        <v>1</v>
      </c>
      <c r="J189" s="11">
        <f>VLOOKUP(E189,'Dự thu chiết khấu'!$L$3:$P$226,5,0)</f>
        <v>315000000</v>
      </c>
      <c r="K189" s="12">
        <f t="shared" si="20"/>
        <v>18900000</v>
      </c>
      <c r="L189" s="12">
        <f t="shared" si="21"/>
        <v>0</v>
      </c>
      <c r="M189" s="13">
        <f>IFERROR(VLOOKUP(E189,'Dự thu chiết khấu'!$L$3:$R$226,7,0),0)</f>
        <v>0</v>
      </c>
      <c r="N189" s="14">
        <f>IFERROR(VLOOKUP(E189,'Dự thu chiết khấu'!$L$3:$S$226,8,0),0)</f>
        <v>0</v>
      </c>
      <c r="O189" s="11">
        <f>IF(IFERROR(VLOOKUP(E189,'Dự thu chiết khấu'!$L$3:$T$226,9,0),0)&gt;0,J189*$O$5,0)</f>
        <v>0</v>
      </c>
      <c r="P189" s="13">
        <f>IFERROR(VLOOKUP(E189,'Dự thu chiết khấu'!$L$3:$U$226,10,0),0)</f>
        <v>0</v>
      </c>
      <c r="Q189" s="12">
        <f>IFERROR(VLOOKUP(E189,'Dự thu chiết khấu'!$L$3:$V$226,11,0),0)</f>
        <v>0</v>
      </c>
      <c r="R189" s="12">
        <f>VLOOKUP($E189,'Dự thu chiết khấu'!$L$3:$W$226,12,0)</f>
        <v>0</v>
      </c>
      <c r="S189" s="12">
        <f t="shared" si="17"/>
        <v>269181818.18181819</v>
      </c>
      <c r="T189" s="11">
        <f t="shared" si="18"/>
        <v>0.18181818723678589</v>
      </c>
      <c r="U189" s="15">
        <f>SUMIFS('DT-GV'!$N$6:$N$213,'DT-GV'!$H$6:$H$213,E189,'DT-GV'!$R$6:$R$213,"&lt;&gt;0")</f>
        <v>269181818</v>
      </c>
      <c r="V189" s="48">
        <f>SUMIFS('DT-GV'!$N$6:$N$213,'DT-GV'!$H$6:$H$213,E189,'DT-GV'!$R$6:$R$213,0)</f>
        <v>0</v>
      </c>
      <c r="W189" s="15">
        <f>-SUMIFS('DT-GV'!$R$6:$R$213,'DT-GV'!$H$6:$H$213,E189)</f>
        <v>-274909091</v>
      </c>
      <c r="X189" s="11">
        <f>IFERROR(VLOOKUP($E189,'Dự thu chiết khấu'!$L$3:$AK$226,26,0)/1.1,0)</f>
        <v>16494545.454545453</v>
      </c>
      <c r="Y189" s="11">
        <f>IFERROR(VLOOKUP($E189,'Dự thu chiết khấu'!$L$3:$BE$226,46,0)/1.1,0)</f>
        <v>0</v>
      </c>
      <c r="Z189" s="11">
        <f>-SUMIF('Lương năng suất'!$R$4:$R$208,E189,'Lương năng suất'!$AQ$4:$AQ$208)</f>
        <v>-6800000</v>
      </c>
      <c r="AA189" s="213" t="str">
        <f>IFERROR(IF(ISNUMBER(SEARCH("TẶNG",VLOOKUP(E189,'Dự thu chiết khấu'!$L$3:$AV$226,37,0))),"TẶNG",""),"")</f>
        <v/>
      </c>
      <c r="AB189" s="213" t="str">
        <f>IFERROR(IF(ISNUMBER(SEARCH("TẶNG",VLOOKUP(E189,'Dự thu chiết khấu'!$L$3:$AW$226,38,0))),"TẶNG",""),"")</f>
        <v/>
      </c>
      <c r="AC189" s="49">
        <f t="shared" si="19"/>
        <v>3967272.4545454532</v>
      </c>
      <c r="AD189" s="11">
        <f>IFERROR(VLOOKUP(E189,'Dự thu chiết khấu'!$L$3:$AM$226,28,0),0)</f>
        <v>0</v>
      </c>
      <c r="AE189" s="11">
        <f>IFERROR(VLOOKUP(E189,'Dự thu chiết khấu'!$L$3:$AN$226,29,0),0)</f>
        <v>0</v>
      </c>
      <c r="AF189" s="11">
        <f>IFERROR(VLOOKUP(E189,'Dự thu chiết khấu'!$L$3:$AO$226,30,0),0)</f>
        <v>0</v>
      </c>
    </row>
    <row r="190" spans="1:32">
      <c r="A190">
        <v>184</v>
      </c>
      <c r="B190" t="str">
        <f>IFERROR(INDEX('Dự thu chiết khấu'!$E:$E,MATCH(E190,'Dự thu chiết khấu'!$L:$L,0)),"")</f>
        <v>Vũ Thị Thanh Tuyền</v>
      </c>
      <c r="C190" s="51" t="str">
        <f>IFERROR(INDEX('Dự thu chiết khấu'!$F:$F,MATCH(E190,'Dự thu chiết khấu'!$L:$L,0)),"")</f>
        <v>Trương Bồ Thái Dương</v>
      </c>
      <c r="D190" s="4" t="str">
        <f>IFERROR(INDEX('Dự thu chiết khấu'!$H:$H,MATCH(E190,'Dự thu chiết khấu'!$L:$L,0)),"")</f>
        <v>VF 6</v>
      </c>
      <c r="E190" s="4" t="str">
        <f>'Dự thu chiết khấu'!L187</f>
        <v>RLLVAGND0TH731286</v>
      </c>
      <c r="F190" s="5" t="s">
        <v>138</v>
      </c>
      <c r="G190" s="5" t="str" cm="1">
        <f t="array" ref="G190">IFERROR(INDEX('DT-GV'!$X$6:$X$213,MATCH(1,('DT-GV'!$H$6:$H$213=E190)*('DT-GV'!$R$6:$R$213&lt;&gt;0),0)),IFERROR(VLOOKUP(E190,'DT-GV'!$H$6:$X$213,17,0),""))</f>
        <v>Q9KD</v>
      </c>
      <c r="H190" s="8" t="str">
        <f>VLOOKUP(E190,'Dự thu chiết khấu'!$L$3:$M$226,2,0)</f>
        <v>S11001</v>
      </c>
      <c r="I190">
        <v>1</v>
      </c>
      <c r="J190" s="11">
        <f>VLOOKUP(E190,'Dự thu chiết khấu'!$L$3:$P$226,5,0)</f>
        <v>689000000</v>
      </c>
      <c r="K190" s="12">
        <f t="shared" si="20"/>
        <v>41340000</v>
      </c>
      <c r="L190" s="12">
        <f t="shared" si="21"/>
        <v>0</v>
      </c>
      <c r="M190" s="13">
        <f>IFERROR(VLOOKUP(E190,'Dự thu chiết khấu'!$L$3:$R$226,7,0),0)</f>
        <v>0</v>
      </c>
      <c r="N190" s="14">
        <f>IFERROR(VLOOKUP(E190,'Dự thu chiết khấu'!$L$3:$S$226,8,0),0)</f>
        <v>0</v>
      </c>
      <c r="O190" s="11">
        <f>IF(IFERROR(VLOOKUP(E190,'Dự thu chiết khấu'!$L$3:$T$226,9,0),0)&gt;0,J190*$O$5,0)</f>
        <v>20670000</v>
      </c>
      <c r="P190" s="13">
        <f>IFERROR(VLOOKUP(E190,'Dự thu chiết khấu'!$L$3:$U$226,10,0),0)</f>
        <v>0</v>
      </c>
      <c r="Q190" s="12">
        <f>IFERROR(VLOOKUP(E190,'Dự thu chiết khấu'!$L$3:$V$226,11,0),0)</f>
        <v>0</v>
      </c>
      <c r="R190" s="12">
        <f>VLOOKUP($E190,'Dự thu chiết khấu'!$L$3:$W$226,12,0)</f>
        <v>10000000</v>
      </c>
      <c r="S190" s="12">
        <f t="shared" si="17"/>
        <v>560900000</v>
      </c>
      <c r="T190" s="11">
        <f t="shared" si="18"/>
        <v>0</v>
      </c>
      <c r="U190" s="15">
        <f>SUMIFS('DT-GV'!$N$6:$N$213,'DT-GV'!$H$6:$H$213,E190,'DT-GV'!$R$6:$R$213,"&lt;&gt;0")</f>
        <v>560900000</v>
      </c>
      <c r="V190" s="48">
        <f>SUMIFS('DT-GV'!$N$6:$N$213,'DT-GV'!$H$6:$H$213,E190,'DT-GV'!$R$6:$R$213,0)</f>
        <v>0</v>
      </c>
      <c r="W190" s="15">
        <f>-SUMIFS('DT-GV'!$R$6:$R$213,'DT-GV'!$H$6:$H$213,E190)</f>
        <v>-601309091</v>
      </c>
      <c r="X190" s="11">
        <f>IFERROR(VLOOKUP($E190,'Dự thu chiết khấu'!$L$3:$AK$226,26,0)/1.1,0)</f>
        <v>54117818.18181818</v>
      </c>
      <c r="Y190" s="11">
        <f>IFERROR(VLOOKUP($E190,'Dự thu chiết khấu'!$L$3:$BE$226,46,0)/1.1,0)</f>
        <v>0</v>
      </c>
      <c r="Z190" s="11">
        <f>-SUMIF('Lương năng suất'!$R$4:$R$208,E190,'Lương năng suất'!$AQ$4:$AQ$208)</f>
        <v>-6000000</v>
      </c>
      <c r="AA190" s="213" t="str">
        <f>IFERROR(IF(ISNUMBER(SEARCH("TẶNG",VLOOKUP(E190,'Dự thu chiết khấu'!$L$3:$AV$226,37,0))),"TẶNG",""),"")</f>
        <v/>
      </c>
      <c r="AB190" s="213" t="str">
        <f>IFERROR(IF(ISNUMBER(SEARCH("TẶNG",VLOOKUP(E190,'Dự thu chiết khấu'!$L$3:$AW$226,38,0))),"TẶNG",""),"")</f>
        <v/>
      </c>
      <c r="AC190" s="49">
        <f t="shared" si="19"/>
        <v>7708727.1818181798</v>
      </c>
      <c r="AD190" s="11">
        <f>IFERROR(VLOOKUP(E190,'Dự thu chiết khấu'!$L$3:$AM$226,28,0),0)</f>
        <v>0</v>
      </c>
      <c r="AE190" s="11">
        <f>IFERROR(VLOOKUP(E190,'Dự thu chiết khấu'!$L$3:$AN$226,29,0),0)</f>
        <v>0</v>
      </c>
      <c r="AF190" s="11">
        <f>IFERROR(VLOOKUP(E190,'Dự thu chiết khấu'!$L$3:$AO$226,30,0),0)</f>
        <v>0</v>
      </c>
    </row>
    <row r="191" spans="1:32">
      <c r="A191" s="11">
        <v>185</v>
      </c>
      <c r="B191" t="str">
        <f>IFERROR(INDEX('Dự thu chiết khấu'!$E:$E,MATCH(E191,'Dự thu chiết khấu'!$L:$L,0)),"")</f>
        <v>Nguyễn Minh Trí</v>
      </c>
      <c r="C191" s="51" t="str">
        <f>IFERROR(INDEX('Dự thu chiết khấu'!$F:$F,MATCH(E191,'Dự thu chiết khấu'!$L:$L,0)),"")</f>
        <v>Phan Ngọc Huy</v>
      </c>
      <c r="D191" s="4" t="str">
        <f>IFERROR(INDEX('Dự thu chiết khấu'!$H:$H,MATCH(E191,'Dự thu chiết khấu'!$L:$L,0)),"")</f>
        <v>VF 6</v>
      </c>
      <c r="E191" s="4" t="str">
        <f>'Dự thu chiết khấu'!L188</f>
        <v>RLLVAG8C3TH753253</v>
      </c>
      <c r="F191" s="5" t="s">
        <v>138</v>
      </c>
      <c r="G191" s="5" t="str" cm="1">
        <f t="array" ref="G191">IFERROR(INDEX('DT-GV'!$X$6:$X$213,MATCH(1,('DT-GV'!$H$6:$H$213=E191)*('DT-GV'!$R$6:$R$213&lt;&gt;0),0)),IFERROR(VLOOKUP(E191,'DT-GV'!$H$6:$X$213,17,0),""))</f>
        <v>Q9KD</v>
      </c>
      <c r="H191" s="7" t="str">
        <f>VLOOKUP(E191,'Dự thu chiết khấu'!$L$3:$M$226,2,0)</f>
        <v>S11007</v>
      </c>
      <c r="I191">
        <v>1</v>
      </c>
      <c r="J191" s="11">
        <f>VLOOKUP(E191,'Dự thu chiết khấu'!$L$3:$P$226,5,0)</f>
        <v>745000000</v>
      </c>
      <c r="K191" s="12">
        <f t="shared" si="20"/>
        <v>0</v>
      </c>
      <c r="L191" s="12">
        <f t="shared" si="21"/>
        <v>0</v>
      </c>
      <c r="M191" s="13">
        <f>IFERROR(VLOOKUP(E191,'Dự thu chiết khấu'!$L$3:$R$226,7,0),0)</f>
        <v>7.0000000000000007E-2</v>
      </c>
      <c r="N191" s="14">
        <f>IFERROR(VLOOKUP(E191,'Dự thu chiết khấu'!$L$3:$S$226,8,0),0)</f>
        <v>0</v>
      </c>
      <c r="O191" s="11">
        <f>IF(IFERROR(VLOOKUP(E191,'Dự thu chiết khấu'!$L$3:$T$226,9,0),0)&gt;0,J191*$O$5,0)</f>
        <v>22350000</v>
      </c>
      <c r="P191" s="13">
        <f>IFERROR(VLOOKUP(E191,'Dự thu chiết khấu'!$L$3:$U$226,10,0),0)</f>
        <v>0</v>
      </c>
      <c r="Q191" s="12">
        <f>IFERROR(VLOOKUP(E191,'Dự thu chiết khấu'!$L$3:$V$226,11,0),0)</f>
        <v>0</v>
      </c>
      <c r="R191" s="12">
        <f>VLOOKUP($E191,'Dự thu chiết khấu'!$L$3:$W$226,12,0)</f>
        <v>10000000</v>
      </c>
      <c r="S191" s="12">
        <f t="shared" si="17"/>
        <v>647863636.36363626</v>
      </c>
      <c r="T191" s="11">
        <f t="shared" si="18"/>
        <v>0.36363625526428223</v>
      </c>
      <c r="U191" s="15">
        <f>SUMIFS('DT-GV'!$N$6:$N$213,'DT-GV'!$H$6:$H$213,E191,'DT-GV'!$R$6:$R$213,"&lt;&gt;0")</f>
        <v>647863636</v>
      </c>
      <c r="V191" s="48">
        <f>SUMIFS('DT-GV'!$N$6:$N$213,'DT-GV'!$H$6:$H$213,E191,'DT-GV'!$R$6:$R$213,0)</f>
        <v>0</v>
      </c>
      <c r="W191" s="15">
        <f>-SUMIFS('DT-GV'!$R$6:$R$213,'DT-GV'!$H$6:$H$213,E191)</f>
        <v>-650181818</v>
      </c>
      <c r="X191" s="11">
        <f>IFERROR(VLOOKUP($E191,'Dự thu chiết khấu'!$L$3:$AK$226,26,0)/1.1,0)</f>
        <v>19505454.545454543</v>
      </c>
      <c r="Y191" s="11">
        <f>IFERROR(VLOOKUP($E191,'Dự thu chiết khấu'!$L$3:$BE$226,46,0)/1.1,0)</f>
        <v>6569545.4545454541</v>
      </c>
      <c r="Z191" s="11">
        <f>-SUMIF('Lương năng suất'!$R$4:$R$208,E191,'Lương năng suất'!$AQ$4:$AQ$208)</f>
        <v>-6000000</v>
      </c>
      <c r="AA191" s="213" t="str">
        <f>IFERROR(IF(ISNUMBER(SEARCH("TẶNG",VLOOKUP(E191,'Dự thu chiết khấu'!$L$3:$AV$226,37,0))),"TẶNG",""),"")</f>
        <v/>
      </c>
      <c r="AB191" s="213" t="str">
        <f>IFERROR(IF(ISNUMBER(SEARCH("TẶNG",VLOOKUP(E191,'Dự thu chiết khấu'!$L$3:$AW$226,38,0))),"TẶNG",""),"")</f>
        <v/>
      </c>
      <c r="AC191" s="49">
        <f t="shared" si="19"/>
        <v>17756817.999999996</v>
      </c>
      <c r="AD191" s="11">
        <f>IFERROR(VLOOKUP(E191,'Dự thu chiết khấu'!$L$3:$AM$226,28,0),0)</f>
        <v>0</v>
      </c>
      <c r="AE191" s="11">
        <f>IFERROR(VLOOKUP(E191,'Dự thu chiết khấu'!$L$3:$AN$226,29,0),0)</f>
        <v>0</v>
      </c>
      <c r="AF191" s="11">
        <f>IFERROR(VLOOKUP(E191,'Dự thu chiết khấu'!$L$3:$AO$226,30,0),0)</f>
        <v>10000000</v>
      </c>
    </row>
    <row r="192" spans="1:32">
      <c r="A192">
        <v>186</v>
      </c>
      <c r="B192" t="str">
        <f>IFERROR(INDEX('Dự thu chiết khấu'!$E:$E,MATCH(E192,'Dự thu chiết khấu'!$L:$L,0)),"")</f>
        <v>Vũ Đức Danh</v>
      </c>
      <c r="C192" s="51" t="str">
        <f>IFERROR(INDEX('Dự thu chiết khấu'!$F:$F,MATCH(E192,'Dự thu chiết khấu'!$L:$L,0)),"")</f>
        <v>Nguyễn Phạm Ngọc Oanh</v>
      </c>
      <c r="D192" s="4" t="str">
        <f>IFERROR(INDEX('Dự thu chiết khấu'!$H:$H,MATCH(E192,'Dự thu chiết khấu'!$L:$L,0)),"")</f>
        <v>MPV 7</v>
      </c>
      <c r="E192" s="4" t="str">
        <f>'Dự thu chiết khấu'!L189</f>
        <v>RLLVFPTT0TH723331</v>
      </c>
      <c r="F192" s="5" t="s">
        <v>138</v>
      </c>
      <c r="G192" s="5" t="str" cm="1">
        <f t="array" ref="G192">IFERROR(INDEX('DT-GV'!$X$6:$X$213,MATCH(1,('DT-GV'!$H$6:$H$213=E192)*('DT-GV'!$R$6:$R$213&lt;&gt;0),0)),IFERROR(VLOOKUP(E192,'DT-GV'!$H$6:$X$213,17,0),""))</f>
        <v>Q9KD</v>
      </c>
      <c r="H192" s="6" t="str">
        <f>VLOOKUP(E192,'Dự thu chiết khấu'!$L$3:$M$226,2,0)</f>
        <v>S11001</v>
      </c>
      <c r="I192">
        <v>1</v>
      </c>
      <c r="J192" s="11">
        <f>VLOOKUP(E192,'Dự thu chiết khấu'!$L$3:$P$226,5,0)</f>
        <v>819000000</v>
      </c>
      <c r="K192" s="12">
        <f t="shared" si="20"/>
        <v>49140000</v>
      </c>
      <c r="L192" s="12">
        <f t="shared" si="21"/>
        <v>0</v>
      </c>
      <c r="M192" s="13">
        <f>IFERROR(VLOOKUP(E192,'Dự thu chiết khấu'!$L$3:$R$226,7,0),0)</f>
        <v>0</v>
      </c>
      <c r="N192" s="14">
        <f>IFERROR(VLOOKUP(E192,'Dự thu chiết khấu'!$L$3:$S$226,8,0),0)</f>
        <v>0</v>
      </c>
      <c r="O192" s="11">
        <f>IF(IFERROR(VLOOKUP(E192,'Dự thu chiết khấu'!$L$3:$T$226,9,0),0)&gt;0,J192*$O$5,0)</f>
        <v>24570000</v>
      </c>
      <c r="P192" s="13">
        <f>IFERROR(VLOOKUP(E192,'Dự thu chiết khấu'!$L$3:$U$226,10,0),0)</f>
        <v>0</v>
      </c>
      <c r="Q192" s="12">
        <f>IFERROR(VLOOKUP(E192,'Dự thu chiết khấu'!$L$3:$V$226,11,0),0)</f>
        <v>0</v>
      </c>
      <c r="R192" s="12">
        <f>VLOOKUP($E192,'Dự thu chiết khấu'!$L$3:$W$226,12,0)</f>
        <v>7000000</v>
      </c>
      <c r="S192" s="12">
        <f t="shared" si="17"/>
        <v>671172727.27272725</v>
      </c>
      <c r="T192" s="11">
        <f t="shared" si="18"/>
        <v>0.27272725105285645</v>
      </c>
      <c r="U192" s="15">
        <f>SUMIFS('DT-GV'!$N$6:$N$213,'DT-GV'!$H$6:$H$213,E192,'DT-GV'!$R$6:$R$213,"&lt;&gt;0")</f>
        <v>671172727</v>
      </c>
      <c r="V192" s="48">
        <f>SUMIFS('DT-GV'!$N$6:$N$213,'DT-GV'!$H$6:$H$213,E192,'DT-GV'!$R$6:$R$213,0)</f>
        <v>0</v>
      </c>
      <c r="W192" s="15">
        <f>-SUMIFS('DT-GV'!$R$6:$R$213,'DT-GV'!$H$6:$H$213,E192)</f>
        <v>-714763636</v>
      </c>
      <c r="X192" s="11">
        <f>IFERROR(VLOOKUP($E192,'Dự thu chiết khấu'!$L$3:$AK$226,26,0)/1.1,0)</f>
        <v>64328727.272727266</v>
      </c>
      <c r="Y192" s="11">
        <f>IFERROR(VLOOKUP($E192,'Dự thu chiết khấu'!$L$3:$BE$226,46,0)/1.1,0)</f>
        <v>0</v>
      </c>
      <c r="Z192" s="11">
        <f>-SUMIF('Lương năng suất'!$R$4:$R$208,E192,'Lương năng suất'!$AQ$4:$AQ$208)</f>
        <v>-10400000</v>
      </c>
      <c r="AA192" s="213" t="str">
        <f>IFERROR(IF(ISNUMBER(SEARCH("TẶNG",VLOOKUP(E192,'Dự thu chiết khấu'!$L$3:$AV$226,37,0))),"TẶNG",""),"")</f>
        <v/>
      </c>
      <c r="AB192" s="213" t="str">
        <f>IFERROR(IF(ISNUMBER(SEARCH("TẶNG",VLOOKUP(E192,'Dự thu chiết khấu'!$L$3:$AW$226,38,0))),"TẶNG",""),"")</f>
        <v/>
      </c>
      <c r="AC192" s="49">
        <f t="shared" si="19"/>
        <v>10337818.272727266</v>
      </c>
      <c r="AD192" s="11">
        <f>IFERROR(VLOOKUP(E192,'Dự thu chiết khấu'!$L$3:$AM$226,28,0),0)</f>
        <v>0</v>
      </c>
      <c r="AE192" s="11">
        <f>IFERROR(VLOOKUP(E192,'Dự thu chiết khấu'!$L$3:$AN$226,29,0),0)</f>
        <v>0</v>
      </c>
      <c r="AF192" s="11">
        <f>IFERROR(VLOOKUP(E192,'Dự thu chiết khấu'!$L$3:$AO$226,30,0),0)</f>
        <v>0</v>
      </c>
    </row>
    <row r="193" spans="1:32">
      <c r="A193" s="11">
        <v>187</v>
      </c>
      <c r="B193" t="str">
        <f>IFERROR(INDEX('Dự thu chiết khấu'!$E:$E,MATCH(E193,'Dự thu chiết khấu'!$L:$L,0)),"")</f>
        <v>Nguyễn Minh Trí</v>
      </c>
      <c r="C193" s="51" t="str">
        <f>IFERROR(INDEX('Dự thu chiết khấu'!$F:$F,MATCH(E193,'Dự thu chiết khấu'!$L:$L,0)),"")</f>
        <v>Nguyễn Thị Kim Bình</v>
      </c>
      <c r="D193" s="4" t="str">
        <f>IFERROR(INDEX('Dự thu chiết khấu'!$H:$H,MATCH(E193,'Dự thu chiết khấu'!$L:$L,0)),"")</f>
        <v>LIMO GREEN</v>
      </c>
      <c r="E193" s="4" t="str">
        <f>'Dự thu chiết khấu'!L190</f>
        <v>RLLVFPNT8TH757630</v>
      </c>
      <c r="F193" s="5" t="s">
        <v>138</v>
      </c>
      <c r="G193" s="5" t="str" cm="1">
        <f t="array" ref="G193">IFERROR(INDEX('DT-GV'!$X$6:$X$213,MATCH(1,('DT-GV'!$H$6:$H$213=E193)*('DT-GV'!$R$6:$R$213&lt;&gt;0),0)),IFERROR(VLOOKUP(E193,'DT-GV'!$H$6:$X$213,17,0),""))</f>
        <v>Q9KD</v>
      </c>
      <c r="H193" s="6" t="str">
        <f>VLOOKUP(E193,'Dự thu chiết khấu'!$L$3:$M$226,2,0)</f>
        <v>S11001</v>
      </c>
      <c r="I193">
        <v>1</v>
      </c>
      <c r="J193" s="11">
        <f>VLOOKUP(E193,'Dự thu chiết khấu'!$L$3:$P$226,5,0)</f>
        <v>749000000</v>
      </c>
      <c r="K193" s="12">
        <f t="shared" si="20"/>
        <v>44940000</v>
      </c>
      <c r="L193" s="12">
        <f t="shared" si="21"/>
        <v>0</v>
      </c>
      <c r="M193" s="13">
        <f>IFERROR(VLOOKUP(E193,'Dự thu chiết khấu'!$L$3:$R$226,7,0),0)</f>
        <v>0</v>
      </c>
      <c r="N193" s="14">
        <f>IFERROR(VLOOKUP(E193,'Dự thu chiết khấu'!$L$3:$S$226,8,0),0)</f>
        <v>0</v>
      </c>
      <c r="O193" s="11">
        <f>IF(IFERROR(VLOOKUP(E193,'Dự thu chiết khấu'!$L$3:$T$226,9,0),0)&gt;0,J193*$O$5,0)</f>
        <v>22470000</v>
      </c>
      <c r="P193" s="13">
        <f>IFERROR(VLOOKUP(E193,'Dự thu chiết khấu'!$L$3:$U$226,10,0),0)</f>
        <v>0</v>
      </c>
      <c r="Q193" s="12">
        <f>IFERROR(VLOOKUP(E193,'Dự thu chiết khấu'!$L$3:$V$226,11,0),0)</f>
        <v>0</v>
      </c>
      <c r="R193" s="12">
        <f>VLOOKUP($E193,'Dự thu chiết khấu'!$L$3:$W$226,12,0)</f>
        <v>12000000</v>
      </c>
      <c r="S193" s="12">
        <f t="shared" si="17"/>
        <v>608718181.81818175</v>
      </c>
      <c r="T193" s="11">
        <f t="shared" si="18"/>
        <v>-0.18181824684143066</v>
      </c>
      <c r="U193" s="15">
        <f>SUMIFS('DT-GV'!$N$6:$N$213,'DT-GV'!$H$6:$H$213,E193,'DT-GV'!$R$6:$R$213,"&lt;&gt;0")</f>
        <v>608718182</v>
      </c>
      <c r="V193" s="48">
        <f>SUMIFS('DT-GV'!$N$6:$N$213,'DT-GV'!$H$6:$H$213,E193,'DT-GV'!$R$6:$R$213,0)</f>
        <v>0</v>
      </c>
      <c r="W193" s="15">
        <f>-SUMIFS('DT-GV'!$R$6:$R$213,'DT-GV'!$H$6:$H$213,E193)</f>
        <v>-653672727</v>
      </c>
      <c r="X193" s="11">
        <f>IFERROR(VLOOKUP($E193,'Dự thu chiết khấu'!$L$3:$AK$226,26,0)/1.1,0)</f>
        <v>58830545.454545453</v>
      </c>
      <c r="Y193" s="11">
        <f>IFERROR(VLOOKUP($E193,'Dự thu chiết khấu'!$L$3:$BE$226,46,0)/1.1,0)</f>
        <v>0</v>
      </c>
      <c r="Z193" s="11">
        <f>-SUMIF('Lương năng suất'!$R$4:$R$208,E193,'Lương năng suất'!$AQ$4:$AQ$208)</f>
        <v>-9200000</v>
      </c>
      <c r="AA193" s="213" t="str">
        <f>IFERROR(IF(ISNUMBER(SEARCH("TẶNG",VLOOKUP(E193,'Dự thu chiết khấu'!$L$3:$AV$226,37,0))),"TẶNG",""),"")</f>
        <v/>
      </c>
      <c r="AB193" s="213" t="str">
        <f>IFERROR(IF(ISNUMBER(SEARCH("TẶNG",VLOOKUP(E193,'Dự thu chiết khấu'!$L$3:$AW$226,38,0))),"TẶNG",""),"")</f>
        <v/>
      </c>
      <c r="AC193" s="49">
        <f t="shared" si="19"/>
        <v>4676000.4545454532</v>
      </c>
      <c r="AD193" s="11">
        <f>IFERROR(VLOOKUP(E193,'Dự thu chiết khấu'!$L$3:$AM$226,28,0),0)</f>
        <v>0</v>
      </c>
      <c r="AE193" s="11">
        <f>IFERROR(VLOOKUP(E193,'Dự thu chiết khấu'!$L$3:$AN$226,29,0),0)</f>
        <v>0</v>
      </c>
      <c r="AF193" s="11">
        <f>IFERROR(VLOOKUP(E193,'Dự thu chiết khấu'!$L$3:$AO$226,30,0),0)</f>
        <v>0</v>
      </c>
    </row>
    <row r="194" spans="1:32">
      <c r="A194">
        <v>188</v>
      </c>
      <c r="B194" t="str">
        <f>IFERROR(INDEX('Dự thu chiết khấu'!$E:$E,MATCH(E194,'Dự thu chiết khấu'!$L:$L,0)),"")</f>
        <v>Nguyễn Thị Phương Anh</v>
      </c>
      <c r="C194" s="51" t="str">
        <f>IFERROR(INDEX('Dự thu chiết khấu'!$F:$F,MATCH(E194,'Dự thu chiết khấu'!$L:$L,0)),"")</f>
        <v>Tạ Quốc Hưng</v>
      </c>
      <c r="D194" s="4" t="str">
        <f>IFERROR(INDEX('Dự thu chiết khấu'!$H:$H,MATCH(E194,'Dự thu chiết khấu'!$L:$L,0)),"")</f>
        <v>MPV 7</v>
      </c>
      <c r="E194" s="4" t="str">
        <f>'Dự thu chiết khấu'!L191</f>
        <v>RLLVFPTT6TH723205</v>
      </c>
      <c r="F194" s="5" t="s">
        <v>138</v>
      </c>
      <c r="G194" s="5" t="str" cm="1">
        <f t="array" ref="G194">IFERROR(INDEX('DT-GV'!$X$6:$X$213,MATCH(1,('DT-GV'!$H$6:$H$213=E194)*('DT-GV'!$R$6:$R$213&lt;&gt;0),0)),IFERROR(VLOOKUP(E194,'DT-GV'!$H$6:$X$213,17,0),""))</f>
        <v>Q9KD</v>
      </c>
      <c r="H194" s="6" t="str">
        <f>VLOOKUP(E194,'Dự thu chiết khấu'!$L$3:$M$226,2,0)</f>
        <v>S11001</v>
      </c>
      <c r="I194">
        <v>1</v>
      </c>
      <c r="J194" s="11">
        <f>VLOOKUP(E194,'Dự thu chiết khấu'!$L$3:$P$226,5,0)</f>
        <v>819000000</v>
      </c>
      <c r="K194" s="12">
        <f t="shared" si="20"/>
        <v>49140000</v>
      </c>
      <c r="L194" s="12">
        <f t="shared" si="21"/>
        <v>0</v>
      </c>
      <c r="M194" s="13">
        <f>IFERROR(VLOOKUP(E194,'Dự thu chiết khấu'!$L$3:$R$226,7,0),0)</f>
        <v>0</v>
      </c>
      <c r="N194" s="14">
        <f>IFERROR(VLOOKUP(E194,'Dự thu chiết khấu'!$L$3:$S$226,8,0),0)</f>
        <v>0.01</v>
      </c>
      <c r="O194" s="11">
        <f>IF(IFERROR(VLOOKUP(E194,'Dự thu chiết khấu'!$L$3:$T$226,9,0),0)&gt;0,J194*$O$5,0)</f>
        <v>24570000</v>
      </c>
      <c r="P194" s="13">
        <f>IFERROR(VLOOKUP(E194,'Dự thu chiết khấu'!$L$3:$U$226,10,0),0)</f>
        <v>0</v>
      </c>
      <c r="Q194" s="12">
        <f>IFERROR(VLOOKUP(E194,'Dự thu chiết khấu'!$L$3:$V$226,11,0),0)</f>
        <v>0</v>
      </c>
      <c r="R194" s="12">
        <f>VLOOKUP($E194,'Dự thu chiết khấu'!$L$3:$W$226,12,0)</f>
        <v>0</v>
      </c>
      <c r="S194" s="12">
        <f t="shared" si="17"/>
        <v>670897363.63636363</v>
      </c>
      <c r="T194" s="11">
        <f t="shared" si="18"/>
        <v>-0.36363637447357178</v>
      </c>
      <c r="U194" s="15">
        <f>SUMIFS('DT-GV'!$N$6:$N$213,'DT-GV'!$H$6:$H$213,E194,'DT-GV'!$R$6:$R$213,"&lt;&gt;0")</f>
        <v>670897364</v>
      </c>
      <c r="V194" s="48">
        <f>SUMIFS('DT-GV'!$N$6:$N$213,'DT-GV'!$H$6:$H$213,E194,'DT-GV'!$R$6:$R$213,0)</f>
        <v>0</v>
      </c>
      <c r="W194" s="15">
        <f>-SUMIFS('DT-GV'!$R$6:$R$213,'DT-GV'!$H$6:$H$213,E194)</f>
        <v>-714763636</v>
      </c>
      <c r="X194" s="11">
        <f>IFERROR(VLOOKUP($E194,'Dự thu chiết khấu'!$L$3:$AK$226,26,0)/1.1,0)</f>
        <v>70702167.272727266</v>
      </c>
      <c r="Y194" s="11">
        <f>IFERROR(VLOOKUP($E194,'Dự thu chiết khấu'!$L$3:$BE$226,46,0)/1.1,0)</f>
        <v>0</v>
      </c>
      <c r="Z194" s="11">
        <f>-SUMIF('Lương năng suất'!$R$4:$R$208,E194,'Lương năng suất'!$AQ$4:$AQ$208)</f>
        <v>-16000000</v>
      </c>
      <c r="AA194" s="213" t="str">
        <f>IFERROR(IF(ISNUMBER(SEARCH("TẶNG",VLOOKUP(E194,'Dự thu chiết khấu'!$L$3:$AV$226,37,0))),"TẶNG",""),"")</f>
        <v/>
      </c>
      <c r="AB194" s="213" t="str">
        <f>IFERROR(IF(ISNUMBER(SEARCH("TẶNG",VLOOKUP(E194,'Dự thu chiết khấu'!$L$3:$AW$226,38,0))),"TẶNG",""),"")</f>
        <v/>
      </c>
      <c r="AC194" s="49">
        <f t="shared" si="19"/>
        <v>10835895.272727266</v>
      </c>
      <c r="AD194" s="11">
        <f>IFERROR(VLOOKUP(E194,'Dự thu chiết khấu'!$L$3:$AM$226,28,0),0)</f>
        <v>0</v>
      </c>
      <c r="AE194" s="11">
        <f>IFERROR(VLOOKUP(E194,'Dự thu chiết khấu'!$L$3:$AN$226,29,0),0)</f>
        <v>0</v>
      </c>
      <c r="AF194" s="11">
        <f>IFERROR(VLOOKUP(E194,'Dự thu chiết khấu'!$L$3:$AO$226,30,0),0)</f>
        <v>15000000</v>
      </c>
    </row>
    <row r="195" spans="1:32" ht="23">
      <c r="A195" s="11">
        <v>189</v>
      </c>
      <c r="B195" t="str">
        <f>IFERROR(INDEX('Dự thu chiết khấu'!$E:$E,MATCH(E195,'Dự thu chiết khấu'!$L:$L,0)),"")</f>
        <v>Cao Văn Công</v>
      </c>
      <c r="C195" s="51" t="str">
        <f>IFERROR(INDEX('Dự thu chiết khấu'!$F:$F,MATCH(E195,'Dự thu chiết khấu'!$L:$L,0)),"")</f>
        <v>Công ty Cổ Phần Đầu Tư Đông Hòa Design</v>
      </c>
      <c r="D195" s="4" t="str">
        <f>IFERROR(INDEX('Dự thu chiết khấu'!$H:$H,MATCH(E195,'Dự thu chiết khấu'!$L:$L,0)),"")</f>
        <v>MPV 7</v>
      </c>
      <c r="E195" s="4" t="str">
        <f>'Dự thu chiết khấu'!L192</f>
        <v>RLLVFPTT7TH735511</v>
      </c>
      <c r="F195" s="5" t="s">
        <v>138</v>
      </c>
      <c r="G195" s="5" t="str" cm="1">
        <f t="array" ref="G195">IFERROR(INDEX('DT-GV'!$X$6:$X$213,MATCH(1,('DT-GV'!$H$6:$H$213=E195)*('DT-GV'!$R$6:$R$213&lt;&gt;0),0)),IFERROR(VLOOKUP(E195,'DT-GV'!$H$6:$X$213,17,0),""))</f>
        <v>Q9KD</v>
      </c>
      <c r="H195" s="8" t="str">
        <f>VLOOKUP(E195,'Dự thu chiết khấu'!$L$3:$M$226,2,0)</f>
        <v>S11007</v>
      </c>
      <c r="I195">
        <v>1</v>
      </c>
      <c r="J195" s="11">
        <f>VLOOKUP(E195,'Dự thu chiết khấu'!$L$3:$P$226,5,0)</f>
        <v>819000000</v>
      </c>
      <c r="K195" s="12">
        <f t="shared" si="20"/>
        <v>49140000</v>
      </c>
      <c r="L195" s="12">
        <f t="shared" si="21"/>
        <v>0</v>
      </c>
      <c r="M195" s="13">
        <f>IFERROR(VLOOKUP(E195,'Dự thu chiết khấu'!$L$3:$R$226,7,0),0)</f>
        <v>0</v>
      </c>
      <c r="N195" s="14">
        <f>IFERROR(VLOOKUP(E195,'Dự thu chiết khấu'!$L$3:$S$226,8,0),0)</f>
        <v>0</v>
      </c>
      <c r="O195" s="11">
        <f>IF(IFERROR(VLOOKUP(E195,'Dự thu chiết khấu'!$L$3:$T$226,9,0),0)&gt;0,J195*$O$5,0)</f>
        <v>24570000</v>
      </c>
      <c r="P195" s="13">
        <f>IFERROR(VLOOKUP(E195,'Dự thu chiết khấu'!$L$3:$U$226,10,0),0)</f>
        <v>0</v>
      </c>
      <c r="Q195" s="12">
        <f>IFERROR(VLOOKUP(E195,'Dự thu chiết khấu'!$L$3:$V$226,11,0),0)</f>
        <v>0</v>
      </c>
      <c r="R195" s="12">
        <f>VLOOKUP($E195,'Dự thu chiết khấu'!$L$3:$W$226,12,0)</f>
        <v>0</v>
      </c>
      <c r="S195" s="12">
        <f t="shared" si="17"/>
        <v>677536363.63636363</v>
      </c>
      <c r="T195" s="11">
        <f t="shared" si="18"/>
        <v>-0.36363637447357178</v>
      </c>
      <c r="U195" s="15">
        <f>SUMIFS('DT-GV'!$N$6:$N$213,'DT-GV'!$H$6:$H$213,E195,'DT-GV'!$R$6:$R$213,"&lt;&gt;0")</f>
        <v>677536364</v>
      </c>
      <c r="V195" s="48">
        <f>SUMIFS('DT-GV'!$N$6:$N$213,'DT-GV'!$H$6:$H$213,E195,'DT-GV'!$R$6:$R$213,0)</f>
        <v>0</v>
      </c>
      <c r="W195" s="15">
        <f>-SUMIFS('DT-GV'!$R$6:$R$213,'DT-GV'!$H$6:$H$213,E195)</f>
        <v>-714763636</v>
      </c>
      <c r="X195" s="11">
        <f>IFERROR(VLOOKUP($E195,'Dự thu chiết khấu'!$L$3:$AK$226,26,0)/1.1,0)</f>
        <v>64328727.272727266</v>
      </c>
      <c r="Y195" s="11">
        <f>IFERROR(VLOOKUP($E195,'Dự thu chiết khấu'!$L$3:$BE$226,46,0)/1.1,0)</f>
        <v>6775363.6363636358</v>
      </c>
      <c r="Z195" s="11">
        <f>-SUMIF('Lương năng suất'!$R$4:$R$208,E195,'Lương năng suất'!$AQ$4:$AQ$208)</f>
        <v>-16000000</v>
      </c>
      <c r="AA195" s="213" t="str">
        <f>IFERROR(IF(ISNUMBER(SEARCH("TẶNG",VLOOKUP(E195,'Dự thu chiết khấu'!$L$3:$AV$226,37,0))),"TẶNG",""),"")</f>
        <v/>
      </c>
      <c r="AB195" s="213" t="str">
        <f>IFERROR(IF(ISNUMBER(SEARCH("TẶNG",VLOOKUP(E195,'Dự thu chiết khấu'!$L$3:$AW$226,38,0))),"TẶNG",""),"")</f>
        <v/>
      </c>
      <c r="AC195" s="49">
        <f t="shared" si="19"/>
        <v>17876818.909090899</v>
      </c>
      <c r="AD195" s="11">
        <f>IFERROR(VLOOKUP(E195,'Dự thu chiết khấu'!$L$3:$AM$226,28,0),0)</f>
        <v>0</v>
      </c>
      <c r="AE195" s="11">
        <f>IFERROR(VLOOKUP(E195,'Dự thu chiết khấu'!$L$3:$AN$226,29,0),0)</f>
        <v>15000000</v>
      </c>
      <c r="AF195" s="11">
        <f>IFERROR(VLOOKUP(E195,'Dự thu chiết khấu'!$L$3:$AO$226,30,0),0)</f>
        <v>10000000</v>
      </c>
    </row>
    <row r="196" spans="1:32">
      <c r="A196">
        <v>190</v>
      </c>
      <c r="B196" t="str">
        <f>IFERROR(INDEX('Dự thu chiết khấu'!$E:$E,MATCH(E196,'Dự thu chiết khấu'!$L:$L,0)),"")</f>
        <v>HUỲNH THIÊN ĐỨC</v>
      </c>
      <c r="C196" s="51" t="str">
        <f>IFERROR(INDEX('Dự thu chiết khấu'!$F:$F,MATCH(E196,'Dự thu chiết khấu'!$L:$L,0)),"")</f>
        <v>NGUYỄN THỊ BÍCH HUỆ</v>
      </c>
      <c r="D196" s="4" t="str">
        <f>IFERROR(INDEX('Dự thu chiết khấu'!$H:$H,MATCH(E196,'Dự thu chiết khấu'!$L:$L,0)),"")</f>
        <v>LIMO GREEN</v>
      </c>
      <c r="E196" s="4" t="str">
        <f>'Dự thu chiết khấu'!L193</f>
        <v>RLLVFPNT8TH745476</v>
      </c>
      <c r="F196" s="5" t="s">
        <v>122</v>
      </c>
      <c r="G196" s="5" t="str" cm="1">
        <f t="array" ref="G196">IFERROR(INDEX('DT-GV'!$X$6:$X$213,MATCH(1,('DT-GV'!$H$6:$H$213=E196)*('DT-GV'!$R$6:$R$213&lt;&gt;0),0)),IFERROR(VLOOKUP(E196,'DT-GV'!$H$6:$X$213,17,0),""))</f>
        <v>QTKD</v>
      </c>
      <c r="H196" s="6" t="str">
        <f>VLOOKUP(E196,'Dự thu chiết khấu'!$L$3:$M$226,2,0)</f>
        <v>S11007</v>
      </c>
      <c r="I196">
        <v>1</v>
      </c>
      <c r="J196" s="11">
        <f>VLOOKUP(E196,'Dự thu chiết khấu'!$L$3:$P$226,5,0)</f>
        <v>749000000</v>
      </c>
      <c r="K196" s="12">
        <f t="shared" si="20"/>
        <v>44940000</v>
      </c>
      <c r="L196" s="12">
        <f t="shared" si="21"/>
        <v>0</v>
      </c>
      <c r="M196" s="13">
        <f>IFERROR(VLOOKUP(E196,'Dự thu chiết khấu'!$L$3:$R$226,7,0),0)</f>
        <v>0</v>
      </c>
      <c r="N196" s="14">
        <f>IFERROR(VLOOKUP(E196,'Dự thu chiết khấu'!$L$3:$S$226,8,0),0)</f>
        <v>0</v>
      </c>
      <c r="O196" s="11">
        <f>IF(IFERROR(VLOOKUP(E196,'Dự thu chiết khấu'!$L$3:$T$226,9,0),0)&gt;0,J196*$O$5,0)</f>
        <v>0</v>
      </c>
      <c r="P196" s="13">
        <f>IFERROR(VLOOKUP(E196,'Dự thu chiết khấu'!$L$3:$U$226,10,0),0)</f>
        <v>0</v>
      </c>
      <c r="Q196" s="12">
        <f>IFERROR(VLOOKUP(E196,'Dự thu chiết khấu'!$L$3:$V$226,11,0),0)</f>
        <v>0</v>
      </c>
      <c r="R196" s="12">
        <f>VLOOKUP($E196,'Dự thu chiết khấu'!$L$3:$W$226,12,0)</f>
        <v>12000000</v>
      </c>
      <c r="S196" s="12">
        <f t="shared" si="17"/>
        <v>629145454.5454545</v>
      </c>
      <c r="T196" s="11">
        <f t="shared" si="18"/>
        <v>-0.45454549789428711</v>
      </c>
      <c r="U196" s="15">
        <f>SUMIFS('DT-GV'!$N$6:$N$213,'DT-GV'!$H$6:$H$213,E196,'DT-GV'!$R$6:$R$213,"&lt;&gt;0")</f>
        <v>629145455</v>
      </c>
      <c r="V196" s="48">
        <f>SUMIFS('DT-GV'!$N$6:$N$213,'DT-GV'!$H$6:$H$213,E196,'DT-GV'!$R$6:$R$213,0)</f>
        <v>0</v>
      </c>
      <c r="W196" s="15">
        <f>-SUMIFS('DT-GV'!$R$6:$R$213,'DT-GV'!$H$6:$H$213,E196)</f>
        <v>-653672727</v>
      </c>
      <c r="X196" s="11">
        <f>IFERROR(VLOOKUP($E196,'Dự thu chiết khấu'!$L$3:$AK$226,26,0)/1.1,0)</f>
        <v>39220363.636363633</v>
      </c>
      <c r="Y196" s="11">
        <f>IFERROR(VLOOKUP($E196,'Dự thu chiết khấu'!$L$3:$BE$226,46,0)/1.1,0)</f>
        <v>6400545.4545454541</v>
      </c>
      <c r="Z196" s="11">
        <f>-SUMIF('Lương năng suất'!$R$4:$R$208,E196,'Lương năng suất'!$AQ$4:$AQ$208)</f>
        <v>-10600000</v>
      </c>
      <c r="AA196" s="213" t="str">
        <f>IFERROR(IF(ISNUMBER(SEARCH("TẶNG",VLOOKUP(E196,'Dự thu chiết khấu'!$L$3:$AV$226,37,0))),"TẶNG",""),"")</f>
        <v/>
      </c>
      <c r="AB196" s="213" t="str">
        <f>IFERROR(IF(ISNUMBER(SEARCH("TẶNG",VLOOKUP(E196,'Dự thu chiết khấu'!$L$3:$AW$226,38,0))),"TẶNG",""),"")</f>
        <v/>
      </c>
      <c r="AC196" s="49">
        <f t="shared" si="19"/>
        <v>10493637.090909086</v>
      </c>
      <c r="AD196" s="11">
        <f>IFERROR(VLOOKUP(E196,'Dự thu chiết khấu'!$L$3:$AM$226,28,0),0)</f>
        <v>0</v>
      </c>
      <c r="AE196" s="11">
        <f>IFERROR(VLOOKUP(E196,'Dự thu chiết khấu'!$L$3:$AN$226,29,0),0)</f>
        <v>3900000</v>
      </c>
      <c r="AF196" s="11">
        <f>IFERROR(VLOOKUP(E196,'Dự thu chiết khấu'!$L$3:$AO$226,30,0),0)</f>
        <v>0</v>
      </c>
    </row>
    <row r="197" spans="1:32">
      <c r="A197" s="11">
        <v>191</v>
      </c>
      <c r="B197" t="str">
        <f>IFERROR(INDEX('Dự thu chiết khấu'!$E:$E,MATCH(E197,'Dự thu chiết khấu'!$L:$L,0)),"")</f>
        <v>NGUYỄN TRUNG HIẾU T1</v>
      </c>
      <c r="C197" s="51" t="str">
        <f>IFERROR(INDEX('Dự thu chiết khấu'!$F:$F,MATCH(E197,'Dự thu chiết khấu'!$L:$L,0)),"")</f>
        <v>HOÀNG PHÚ LÂM</v>
      </c>
      <c r="D197" s="4" t="str">
        <f>IFERROR(INDEX('Dự thu chiết khấu'!$H:$H,MATCH(E197,'Dự thu chiết khấu'!$L:$L,0)),"")</f>
        <v>VF 5</v>
      </c>
      <c r="E197" s="4" t="str">
        <f>'Dự thu chiết khấu'!L194</f>
        <v>RLNV5JSE9SH889579</v>
      </c>
      <c r="F197" s="5" t="s">
        <v>122</v>
      </c>
      <c r="G197" s="5" t="str" cm="1">
        <f t="array" ref="G197">IFERROR(INDEX('DT-GV'!$X$6:$X$213,MATCH(1,('DT-GV'!$H$6:$H$213=E197)*('DT-GV'!$R$6:$R$213&lt;&gt;0),0)),IFERROR(VLOOKUP(E197,'DT-GV'!$H$6:$X$213,17,0),""))</f>
        <v>QTKD</v>
      </c>
      <c r="H197" s="9" t="str">
        <f>VLOOKUP(E197,'Dự thu chiết khấu'!$L$3:$M$226,2,0)</f>
        <v>S11007</v>
      </c>
      <c r="I197">
        <v>1</v>
      </c>
      <c r="J197" s="11">
        <f>VLOOKUP(E197,'Dự thu chiết khấu'!$L$3:$P$226,5,0)</f>
        <v>529000000</v>
      </c>
      <c r="K197" s="12">
        <f t="shared" si="20"/>
        <v>0</v>
      </c>
      <c r="L197" s="12">
        <f t="shared" si="21"/>
        <v>0</v>
      </c>
      <c r="M197" s="13">
        <f>IFERROR(VLOOKUP(E197,'Dự thu chiết khấu'!$L$3:$R$226,7,0),0)</f>
        <v>7.0000000000000007E-2</v>
      </c>
      <c r="N197" s="14">
        <f>IFERROR(VLOOKUP(E197,'Dự thu chiết khấu'!$L$3:$S$226,8,0),0)</f>
        <v>0</v>
      </c>
      <c r="O197" s="11">
        <f>IF(IFERROR(VLOOKUP(E197,'Dự thu chiết khấu'!$L$3:$T$226,9,0),0)&gt;0,J197*$O$5,0)</f>
        <v>0</v>
      </c>
      <c r="P197" s="13">
        <f>IFERROR(VLOOKUP(E197,'Dự thu chiết khấu'!$L$3:$U$226,10,0),0)</f>
        <v>0</v>
      </c>
      <c r="Q197" s="12">
        <f>IFERROR(VLOOKUP(E197,'Dự thu chiết khấu'!$L$3:$V$226,11,0),0)</f>
        <v>15000000</v>
      </c>
      <c r="R197" s="12">
        <f>VLOOKUP($E197,'Dự thu chiết khấu'!$L$3:$W$226,12,0)</f>
        <v>0</v>
      </c>
      <c r="S197" s="12">
        <f t="shared" si="17"/>
        <v>467272727.27272725</v>
      </c>
      <c r="T197" s="11">
        <f t="shared" si="18"/>
        <v>0.27272725105285645</v>
      </c>
      <c r="U197" s="15">
        <f>SUMIFS('DT-GV'!$N$6:$N$213,'DT-GV'!$H$6:$H$213,E197,'DT-GV'!$R$6:$R$213,"&lt;&gt;0")</f>
        <v>467272727</v>
      </c>
      <c r="V197" s="48">
        <f>SUMIFS('DT-GV'!$N$6:$N$213,'DT-GV'!$H$6:$H$213,E197,'DT-GV'!$R$6:$R$213,0)</f>
        <v>0</v>
      </c>
      <c r="W197" s="15">
        <f>-SUMIFS('DT-GV'!$R$6:$R$213,'DT-GV'!$H$6:$H$213,E197)</f>
        <v>-466481818</v>
      </c>
      <c r="X197" s="11">
        <f>IFERROR(VLOOKUP($E197,'Dự thu chiết khấu'!$L$3:$AK$226,26,0)/1.1,0)</f>
        <v>17900000</v>
      </c>
      <c r="Y197" s="11">
        <f>IFERROR(VLOOKUP($E197,'Dự thu chiết khấu'!$L$3:$BE$226,46,0)/1.1,0)</f>
        <v>4672727.2727272725</v>
      </c>
      <c r="Z197" s="11">
        <f>-SUMIF('Lương năng suất'!$R$4:$R$208,E197,'Lương năng suất'!$AQ$4:$AQ$208)</f>
        <v>-9600000</v>
      </c>
      <c r="AA197" s="213" t="str">
        <f>IFERROR(IF(ISNUMBER(SEARCH("TẶNG",VLOOKUP(E197,'Dự thu chiết khấu'!$L$3:$AV$226,37,0))),"TẶNG",""),"")</f>
        <v/>
      </c>
      <c r="AB197" s="213" t="str">
        <f>IFERROR(IF(ISNUMBER(SEARCH("TẶNG",VLOOKUP(E197,'Dự thu chiết khấu'!$L$3:$AW$226,38,0))),"TẶNG",""),"")</f>
        <v/>
      </c>
      <c r="AC197" s="49">
        <f t="shared" si="19"/>
        <v>13763636.272727273</v>
      </c>
      <c r="AD197" s="11">
        <f>IFERROR(VLOOKUP(E197,'Dự thu chiết khấu'!$L$3:$AM$226,28,0),0)</f>
        <v>0</v>
      </c>
      <c r="AE197" s="11">
        <f>IFERROR(VLOOKUP(E197,'Dự thu chiết khấu'!$L$3:$AN$226,29,0),0)</f>
        <v>0</v>
      </c>
      <c r="AF197" s="11">
        <f>IFERROR(VLOOKUP(E197,'Dự thu chiết khấu'!$L$3:$AO$226,30,0),0)</f>
        <v>0</v>
      </c>
    </row>
    <row r="198" spans="1:32">
      <c r="A198">
        <v>192</v>
      </c>
      <c r="B198" t="str">
        <f>IFERROR(INDEX('Dự thu chiết khấu'!$E:$E,MATCH(E198,'Dự thu chiết khấu'!$L:$L,0)),"")</f>
        <v>PHẠM TRUNG KIÊN</v>
      </c>
      <c r="C198" s="51" t="str">
        <f>IFERROR(INDEX('Dự thu chiết khấu'!$F:$F,MATCH(E198,'Dự thu chiết khấu'!$L:$L,0)),"")</f>
        <v>HUỲNH NGỌC ĐIỆP</v>
      </c>
      <c r="D198" s="4" t="str">
        <f>IFERROR(INDEX('Dự thu chiết khấu'!$H:$H,MATCH(E198,'Dự thu chiết khấu'!$L:$L,0)),"")</f>
        <v>LIMO GREEN</v>
      </c>
      <c r="E198" s="4" t="str">
        <f>'Dự thu chiết khấu'!L195</f>
        <v>RLLVFPNTXTH753966</v>
      </c>
      <c r="F198" s="5" t="s">
        <v>122</v>
      </c>
      <c r="G198" s="5" t="str" cm="1">
        <f t="array" ref="G198">IFERROR(INDEX('DT-GV'!$X$6:$X$213,MATCH(1,('DT-GV'!$H$6:$H$213=E198)*('DT-GV'!$R$6:$R$213&lt;&gt;0),0)),IFERROR(VLOOKUP(E198,'DT-GV'!$H$6:$X$213,17,0),""))</f>
        <v>QTKD</v>
      </c>
      <c r="H198" s="8" t="str">
        <f>VLOOKUP(E198,'Dự thu chiết khấu'!$L$3:$M$226,2,0)</f>
        <v>S11001</v>
      </c>
      <c r="I198">
        <v>1</v>
      </c>
      <c r="J198" s="11">
        <f>VLOOKUP(E198,'Dự thu chiết khấu'!$L$3:$P$226,5,0)</f>
        <v>749000000</v>
      </c>
      <c r="K198" s="12">
        <f t="shared" si="20"/>
        <v>44940000</v>
      </c>
      <c r="L198" s="12">
        <f t="shared" si="21"/>
        <v>0</v>
      </c>
      <c r="M198" s="13">
        <f>IFERROR(VLOOKUP(E198,'Dự thu chiết khấu'!$L$3:$R$226,7,0),0)</f>
        <v>0</v>
      </c>
      <c r="N198" s="14">
        <f>IFERROR(VLOOKUP(E198,'Dự thu chiết khấu'!$L$3:$S$226,8,0),0)</f>
        <v>0</v>
      </c>
      <c r="O198" s="11">
        <f>IF(IFERROR(VLOOKUP(E198,'Dự thu chiết khấu'!$L$3:$T$226,9,0),0)&gt;0,J198*$O$5,0)</f>
        <v>22470000</v>
      </c>
      <c r="P198" s="13">
        <f>IFERROR(VLOOKUP(E198,'Dự thu chiết khấu'!$L$3:$U$226,10,0),0)</f>
        <v>0</v>
      </c>
      <c r="Q198" s="12">
        <f>IFERROR(VLOOKUP(E198,'Dự thu chiết khấu'!$L$3:$V$226,11,0),0)</f>
        <v>0</v>
      </c>
      <c r="R198" s="12">
        <f>VLOOKUP($E198,'Dự thu chiết khấu'!$L$3:$W$226,12,0)</f>
        <v>12000000</v>
      </c>
      <c r="S198" s="12">
        <f t="shared" si="17"/>
        <v>608718181.81818175</v>
      </c>
      <c r="T198" s="11">
        <f t="shared" si="18"/>
        <v>-0.18181824684143066</v>
      </c>
      <c r="U198" s="15">
        <f>SUMIFS('DT-GV'!$N$6:$N$213,'DT-GV'!$H$6:$H$213,E198,'DT-GV'!$R$6:$R$213,"&lt;&gt;0")</f>
        <v>608718182</v>
      </c>
      <c r="V198" s="48">
        <f>SUMIFS('DT-GV'!$N$6:$N$213,'DT-GV'!$H$6:$H$213,E198,'DT-GV'!$R$6:$R$213,0)</f>
        <v>0</v>
      </c>
      <c r="W198" s="15">
        <f>-SUMIFS('DT-GV'!$R$6:$R$213,'DT-GV'!$H$6:$H$213,E198)</f>
        <v>-653672727</v>
      </c>
      <c r="X198" s="11">
        <f>IFERROR(VLOOKUP($E198,'Dự thu chiết khấu'!$L$3:$AK$226,26,0)/1.1,0)</f>
        <v>58830545.454545453</v>
      </c>
      <c r="Y198" s="11">
        <f>IFERROR(VLOOKUP($E198,'Dự thu chiết khấu'!$L$3:$BE$226,46,0)/1.1,0)</f>
        <v>0</v>
      </c>
      <c r="Z198" s="11">
        <f>-SUMIF('Lương năng suất'!$R$4:$R$208,E198,'Lương năng suất'!$AQ$4:$AQ$208)</f>
        <v>-4200000</v>
      </c>
      <c r="AA198" s="213" t="str">
        <f>IFERROR(IF(ISNUMBER(SEARCH("TẶNG",VLOOKUP(E198,'Dự thu chiết khấu'!$L$3:$AV$226,37,0))),"TẶNG",""),"")</f>
        <v/>
      </c>
      <c r="AB198" s="213" t="str">
        <f>IFERROR(IF(ISNUMBER(SEARCH("TẶNG",VLOOKUP(E198,'Dự thu chiết khấu'!$L$3:$AW$226,38,0))),"TẶNG",""),"")</f>
        <v/>
      </c>
      <c r="AC198" s="49">
        <f t="shared" si="19"/>
        <v>9676000.4545454532</v>
      </c>
      <c r="AD198" s="11">
        <f>IFERROR(VLOOKUP(E198,'Dự thu chiết khấu'!$L$3:$AM$226,28,0),0)</f>
        <v>0</v>
      </c>
      <c r="AE198" s="11">
        <f>IFERROR(VLOOKUP(E198,'Dự thu chiết khấu'!$L$3:$AN$226,29,0),0)</f>
        <v>0</v>
      </c>
      <c r="AF198" s="11">
        <f>IFERROR(VLOOKUP(E198,'Dự thu chiết khấu'!$L$3:$AO$226,30,0),0)</f>
        <v>10000000</v>
      </c>
    </row>
    <row r="199" spans="1:32">
      <c r="A199" s="11">
        <v>193</v>
      </c>
      <c r="B199" t="str">
        <f>IFERROR(INDEX('Dự thu chiết khấu'!$E:$E,MATCH(E199,'Dự thu chiết khấu'!$L:$L,0)),"")</f>
        <v>NGUYỄN HỮU ĐỨC</v>
      </c>
      <c r="C199" s="51" t="str">
        <f>IFERROR(INDEX('Dự thu chiết khấu'!$F:$F,MATCH(E199,'Dự thu chiết khấu'!$L:$L,0)),"")</f>
        <v>PHẠM ĐĂNG NAM</v>
      </c>
      <c r="D199" s="4" t="str">
        <f>IFERROR(INDEX('Dự thu chiết khấu'!$H:$H,MATCH(E199,'Dự thu chiết khấu'!$L:$L,0)),"")</f>
        <v>VF 6</v>
      </c>
      <c r="E199" s="4" t="str">
        <f>'Dự thu chiết khấu'!L196</f>
        <v>RLLVAGND2TH736666</v>
      </c>
      <c r="F199" s="5" t="s">
        <v>122</v>
      </c>
      <c r="G199" s="5" t="str" cm="1">
        <f t="array" ref="G199">IFERROR(INDEX('DT-GV'!$X$6:$X$213,MATCH(1,('DT-GV'!$H$6:$H$213=E199)*('DT-GV'!$R$6:$R$213&lt;&gt;0),0)),IFERROR(VLOOKUP(E199,'DT-GV'!$H$6:$X$213,17,0),""))</f>
        <v>QTKD</v>
      </c>
      <c r="H199" s="6" t="str">
        <f>VLOOKUP(E199,'Dự thu chiết khấu'!$L$3:$M$226,2,0)</f>
        <v>S11001</v>
      </c>
      <c r="I199">
        <v>1</v>
      </c>
      <c r="J199" s="11">
        <f>VLOOKUP(E199,'Dự thu chiết khấu'!$L$3:$P$226,5,0)</f>
        <v>689000000</v>
      </c>
      <c r="K199" s="12">
        <f t="shared" ref="K199:K204" si="22">IF(M199&gt;0,0,IF(OR(LEFT(SUBSTITUTE(UPPER(D199)," ",""),3)="VF8",LEFT(SUBSTITUTE(UPPER(D199)," ",""),3)="VF9"),0,J199*$K$5))</f>
        <v>41340000</v>
      </c>
      <c r="L199" s="12">
        <f t="shared" ref="L199:L206" si="23">IF(M199&gt;0,0,IF(OR(LEFT(SUBSTITUTE(UPPER(D199)," ",""),3)="VF8",LEFT(SUBSTITUTE(UPPER(D199)," ",""),3)="VF9"),J199*$L$5,0))</f>
        <v>0</v>
      </c>
      <c r="M199" s="13">
        <f>IFERROR(VLOOKUP(E199,'Dự thu chiết khấu'!$L$3:$R$226,7,0),0)</f>
        <v>0</v>
      </c>
      <c r="N199" s="14">
        <f>IFERROR(VLOOKUP(E199,'Dự thu chiết khấu'!$L$3:$S$226,8,0),0)</f>
        <v>0</v>
      </c>
      <c r="O199" s="11">
        <f>IF(IFERROR(VLOOKUP(E199,'Dự thu chiết khấu'!$L$3:$T$226,9,0),0)&gt;0,J199*$O$5,0)</f>
        <v>20670000</v>
      </c>
      <c r="P199" s="13">
        <f>IFERROR(VLOOKUP(E199,'Dự thu chiết khấu'!$L$3:$U$226,10,0),0)</f>
        <v>0</v>
      </c>
      <c r="Q199" s="12">
        <f>IFERROR(VLOOKUP(E199,'Dự thu chiết khấu'!$L$3:$V$226,11,0),0)</f>
        <v>0</v>
      </c>
      <c r="R199" s="12">
        <f>VLOOKUP($E199,'Dự thu chiết khấu'!$L$3:$W$226,12,0)</f>
        <v>0</v>
      </c>
      <c r="S199" s="12">
        <f t="shared" si="17"/>
        <v>569990909.090909</v>
      </c>
      <c r="T199" s="11">
        <f t="shared" si="18"/>
        <v>9.0909004211425781E-2</v>
      </c>
      <c r="U199" s="15">
        <f>SUMIFS('DT-GV'!$N$6:$N$213,'DT-GV'!$H$6:$H$213,E199,'DT-GV'!$R$6:$R$213,"&lt;&gt;0")</f>
        <v>569990909</v>
      </c>
      <c r="V199" s="48">
        <f>SUMIFS('DT-GV'!$N$6:$N$213,'DT-GV'!$H$6:$H$213,E199,'DT-GV'!$R$6:$R$213,0)</f>
        <v>0</v>
      </c>
      <c r="W199" s="15">
        <f>-SUMIFS('DT-GV'!$R$6:$R$213,'DT-GV'!$H$6:$H$213,E199)</f>
        <v>-601309091</v>
      </c>
      <c r="X199" s="11">
        <f>IFERROR(VLOOKUP($E199,'Dự thu chiết khấu'!$L$3:$AK$226,26,0)/1.1,0)</f>
        <v>54117818.18181818</v>
      </c>
      <c r="Y199" s="11">
        <f>IFERROR(VLOOKUP($E199,'Dự thu chiết khấu'!$L$3:$BE$226,46,0)/1.1,0)</f>
        <v>0</v>
      </c>
      <c r="Z199" s="11">
        <f>-SUMIF('Lương năng suất'!$R$4:$R$208,E199,'Lương năng suất'!$AQ$4:$AQ$208)</f>
        <v>-12000000</v>
      </c>
      <c r="AA199" s="213" t="str">
        <f>IFERROR(IF(ISNUMBER(SEARCH("TẶNG",VLOOKUP(E199,'Dự thu chiết khấu'!$L$3:$AV$226,37,0))),"TẶNG",""),"")</f>
        <v/>
      </c>
      <c r="AB199" s="213" t="str">
        <f>IFERROR(IF(ISNUMBER(SEARCH("TẶNG",VLOOKUP(E199,'Dự thu chiết khấu'!$L$3:$AW$226,38,0))),"TẶNG",""),"")</f>
        <v/>
      </c>
      <c r="AC199" s="49">
        <f t="shared" si="19"/>
        <v>10799636.18181818</v>
      </c>
      <c r="AD199" s="11">
        <f>IFERROR(VLOOKUP(E199,'Dự thu chiết khấu'!$L$3:$AM$226,28,0),0)</f>
        <v>0</v>
      </c>
      <c r="AE199" s="11">
        <f>IFERROR(VLOOKUP(E199,'Dự thu chiết khấu'!$L$3:$AN$226,29,0),0)</f>
        <v>0</v>
      </c>
      <c r="AF199" s="11">
        <f>IFERROR(VLOOKUP(E199,'Dự thu chiết khấu'!$L$3:$AO$226,30,0),0)</f>
        <v>0</v>
      </c>
    </row>
    <row r="200" spans="1:32">
      <c r="A200">
        <v>194</v>
      </c>
      <c r="B200" t="str">
        <f>IFERROR(INDEX('Dự thu chiết khấu'!$E:$E,MATCH(E200,'Dự thu chiết khấu'!$L:$L,0)),"")</f>
        <v>TRẦN ĐẶNG ANH HUY</v>
      </c>
      <c r="C200" s="51" t="str">
        <f>IFERROR(INDEX('Dự thu chiết khấu'!$F:$F,MATCH(E200,'Dự thu chiết khấu'!$L:$L,0)),"")</f>
        <v>VŨ ĐỨC SANG</v>
      </c>
      <c r="D200" s="4" t="str">
        <f>IFERROR(INDEX('Dự thu chiết khấu'!$H:$H,MATCH(E200,'Dự thu chiết khấu'!$L:$L,0)),"")</f>
        <v>LIMO GREEN</v>
      </c>
      <c r="E200" s="4" t="str">
        <f>'Dự thu chiết khấu'!L197</f>
        <v>RLLVFPNT7TH758459</v>
      </c>
      <c r="F200" s="5" t="s">
        <v>122</v>
      </c>
      <c r="G200" s="5" t="str" cm="1">
        <f t="array" ref="G200">IFERROR(INDEX('DT-GV'!$X$6:$X$213,MATCH(1,('DT-GV'!$H$6:$H$213=E200)*('DT-GV'!$R$6:$R$213&lt;&gt;0),0)),IFERROR(VLOOKUP(E200,'DT-GV'!$H$6:$X$213,17,0),""))</f>
        <v>QTKD</v>
      </c>
      <c r="H200" s="7" t="str">
        <f>VLOOKUP(E200,'Dự thu chiết khấu'!$L$3:$M$226,2,0)</f>
        <v>S11001</v>
      </c>
      <c r="I200">
        <v>1</v>
      </c>
      <c r="J200" s="11">
        <f>VLOOKUP(E200,'Dự thu chiết khấu'!$L$3:$P$226,5,0)</f>
        <v>749000000</v>
      </c>
      <c r="K200" s="12">
        <f t="shared" si="22"/>
        <v>0</v>
      </c>
      <c r="L200" s="12">
        <f t="shared" si="23"/>
        <v>0</v>
      </c>
      <c r="M200" s="13">
        <f>IFERROR(VLOOKUP(E200,'Dự thu chiết khấu'!$L$3:$R$226,7,0),0)</f>
        <v>7.0000000000000007E-2</v>
      </c>
      <c r="N200" s="14">
        <f>IFERROR(VLOOKUP(E200,'Dự thu chiết khấu'!$L$3:$S$226,8,0),0)</f>
        <v>0</v>
      </c>
      <c r="O200" s="11">
        <f>IF(IFERROR(VLOOKUP(E200,'Dự thu chiết khấu'!$L$3:$T$226,9,0),0)&gt;0,J200*$O$5,0)</f>
        <v>22470000</v>
      </c>
      <c r="P200" s="13">
        <f>IFERROR(VLOOKUP(E200,'Dự thu chiết khấu'!$L$3:$U$226,10,0),0)</f>
        <v>0</v>
      </c>
      <c r="Q200" s="12">
        <f>IFERROR(VLOOKUP(E200,'Dự thu chiết khấu'!$L$3:$V$226,11,0),0)</f>
        <v>0</v>
      </c>
      <c r="R200" s="12">
        <f>VLOOKUP($E200,'Dự thu chiết khấu'!$L$3:$W$226,12,0)</f>
        <v>12000000</v>
      </c>
      <c r="S200" s="12">
        <f t="shared" ref="S200:S207" si="24">(J200-K200-L200-O200-P200*J200-R200-Q200-(J200-K200-L200-AD200-AE200-AF200-Q200-O200-(P200*J200))*N200)/1.1</f>
        <v>649572727.27272725</v>
      </c>
      <c r="T200" s="11">
        <f t="shared" ref="T200:T206" si="25">S200-SUM(U200:V200)</f>
        <v>0.27272725105285645</v>
      </c>
      <c r="U200" s="15">
        <f>SUMIFS('DT-GV'!$N$6:$N$213,'DT-GV'!$H$6:$H$213,E200,'DT-GV'!$R$6:$R$213,"&lt;&gt;0")</f>
        <v>649572727</v>
      </c>
      <c r="V200" s="48">
        <f>SUMIFS('DT-GV'!$N$6:$N$213,'DT-GV'!$H$6:$H$213,E200,'DT-GV'!$R$6:$R$213,0)</f>
        <v>0</v>
      </c>
      <c r="W200" s="15">
        <f>-SUMIFS('DT-GV'!$R$6:$R$213,'DT-GV'!$H$6:$H$213,E200)</f>
        <v>-653672727</v>
      </c>
      <c r="X200" s="11">
        <f>IFERROR(VLOOKUP($E200,'Dự thu chiết khấu'!$L$3:$AK$226,26,0)/1.1,0)</f>
        <v>19610181.818181816</v>
      </c>
      <c r="Y200" s="11">
        <f>IFERROR(VLOOKUP($E200,'Dự thu chiết khấu'!$L$3:$BE$226,46,0)/1.1,0)</f>
        <v>0</v>
      </c>
      <c r="Z200" s="11">
        <f>-SUMIF('Lương năng suất'!$R$4:$R$208,E200,'Lương năng suất'!$AQ$4:$AQ$208)</f>
        <v>-4200000</v>
      </c>
      <c r="AA200" s="213" t="str">
        <f>IFERROR(IF(ISNUMBER(SEARCH("TẶNG",VLOOKUP(E200,'Dự thu chiết khấu'!$L$3:$AV$226,37,0))),"TẶNG",""),"")</f>
        <v/>
      </c>
      <c r="AB200" s="213" t="str">
        <f>IFERROR(IF(ISNUMBER(SEARCH("TẶNG",VLOOKUP(E200,'Dự thu chiết khấu'!$L$3:$AW$226,38,0))),"TẶNG",""),"")</f>
        <v/>
      </c>
      <c r="AC200" s="49">
        <f t="shared" ref="AC200:AC206" si="26">SUM(U200:AB200)</f>
        <v>11310181.818181816</v>
      </c>
      <c r="AD200" s="11">
        <f>IFERROR(VLOOKUP(E200,'Dự thu chiết khấu'!$L$3:$AM$226,28,0),0)</f>
        <v>0</v>
      </c>
      <c r="AE200" s="11">
        <f>IFERROR(VLOOKUP(E200,'Dự thu chiết khấu'!$L$3:$AN$226,29,0),0)</f>
        <v>0</v>
      </c>
      <c r="AF200" s="11">
        <f>IFERROR(VLOOKUP(E200,'Dự thu chiết khấu'!$L$3:$AO$226,30,0),0)</f>
        <v>0</v>
      </c>
    </row>
    <row r="201" spans="1:32" ht="46">
      <c r="A201" s="11">
        <v>195</v>
      </c>
      <c r="B201" t="str">
        <f>IFERROR(INDEX('Dự thu chiết khấu'!$E:$E,MATCH(E201,'Dự thu chiết khấu'!$L:$L,0)),"")</f>
        <v>NGUYỄN HUỲNH DUY KHAN</v>
      </c>
      <c r="C201" s="51" t="str">
        <f>IFERROR(INDEX('Dự thu chiết khấu'!$F:$F,MATCH(E201,'Dự thu chiết khấu'!$L:$L,0)),"")</f>
        <v>CÔNG TY TNHH PHÒNG KHÁM QUỐC TÊ CHUYÊN KHOA RĂNG HÀM MẶT LAZA BÌNH DƯƠNG</v>
      </c>
      <c r="D201" s="4" t="str">
        <f>IFERROR(INDEX('Dự thu chiết khấu'!$H:$H,MATCH(E201,'Dự thu chiết khấu'!$L:$L,0)),"")</f>
        <v>LIMO GREEN</v>
      </c>
      <c r="E201" s="4" t="str">
        <f>'Dự thu chiết khấu'!L198</f>
        <v>RLLVFPNT6TH758582</v>
      </c>
      <c r="F201" s="5" t="s">
        <v>122</v>
      </c>
      <c r="G201" s="5" t="str" cm="1">
        <f t="array" ref="G201">IFERROR(INDEX('DT-GV'!$X$6:$X$213,MATCH(1,('DT-GV'!$H$6:$H$213=E201)*('DT-GV'!$R$6:$R$213&lt;&gt;0),0)),IFERROR(VLOOKUP(E201,'DT-GV'!$H$6:$X$213,17,0),""))</f>
        <v>QTKD</v>
      </c>
      <c r="H201" s="6" t="str">
        <f>VLOOKUP(E201,'Dự thu chiết khấu'!$L$3:$M$226,2,0)</f>
        <v>S11001</v>
      </c>
      <c r="I201">
        <v>1</v>
      </c>
      <c r="J201" s="11">
        <f>VLOOKUP(E201,'Dự thu chiết khấu'!$L$3:$P$226,5,0)</f>
        <v>749000000</v>
      </c>
      <c r="K201" s="12">
        <f t="shared" si="22"/>
        <v>44940000</v>
      </c>
      <c r="L201" s="12">
        <f t="shared" si="23"/>
        <v>0</v>
      </c>
      <c r="M201" s="13">
        <f>IFERROR(VLOOKUP(E201,'Dự thu chiết khấu'!$L$3:$R$226,7,0),0)</f>
        <v>0</v>
      </c>
      <c r="N201" s="14">
        <f>IFERROR(VLOOKUP(E201,'Dự thu chiết khấu'!$L$3:$S$226,8,0),0)</f>
        <v>0</v>
      </c>
      <c r="O201" s="11">
        <f>IF(IFERROR(VLOOKUP(E201,'Dự thu chiết khấu'!$L$3:$T$226,9,0),0)&gt;0,J201*$O$5,0)</f>
        <v>0</v>
      </c>
      <c r="P201" s="13">
        <f>IFERROR(VLOOKUP(E201,'Dự thu chiết khấu'!$L$3:$U$226,10,0),0)</f>
        <v>0</v>
      </c>
      <c r="Q201" s="12">
        <f>IFERROR(VLOOKUP(E201,'Dự thu chiết khấu'!$L$3:$V$226,11,0),0)</f>
        <v>0</v>
      </c>
      <c r="R201" s="12">
        <f>VLOOKUP($E201,'Dự thu chiết khấu'!$L$3:$W$226,12,0)</f>
        <v>12000000</v>
      </c>
      <c r="S201" s="12">
        <f t="shared" si="24"/>
        <v>629145454.5454545</v>
      </c>
      <c r="T201" s="11">
        <f t="shared" si="25"/>
        <v>-0.45454549789428711</v>
      </c>
      <c r="U201" s="15">
        <f>SUMIFS('DT-GV'!$N$6:$N$213,'DT-GV'!$H$6:$H$213,E201,'DT-GV'!$R$6:$R$213,"&lt;&gt;0")</f>
        <v>629145455</v>
      </c>
      <c r="V201" s="48">
        <f>SUMIFS('DT-GV'!$N$6:$N$213,'DT-GV'!$H$6:$H$213,E201,'DT-GV'!$R$6:$R$213,0)</f>
        <v>0</v>
      </c>
      <c r="W201" s="15">
        <f>-SUMIFS('DT-GV'!$R$6:$R$213,'DT-GV'!$H$6:$H$213,E201)</f>
        <v>-653672727</v>
      </c>
      <c r="X201" s="11">
        <f>IFERROR(VLOOKUP($E201,'Dự thu chiết khấu'!$L$3:$AK$226,26,0)/1.1,0)</f>
        <v>39220363.636363633</v>
      </c>
      <c r="Y201" s="11">
        <f>IFERROR(VLOOKUP($E201,'Dự thu chiết khấu'!$L$3:$BE$226,46,0)/1.1,0)</f>
        <v>0</v>
      </c>
      <c r="Z201" s="11">
        <f>-SUMIF('Lương năng suất'!$R$4:$R$208,E201,'Lương năng suất'!$AQ$4:$AQ$208)</f>
        <v>-4200000</v>
      </c>
      <c r="AA201" s="213" t="str">
        <f>IFERROR(IF(ISNUMBER(SEARCH("TẶNG",VLOOKUP(E201,'Dự thu chiết khấu'!$L$3:$AV$226,37,0))),"TẶNG",""),"")</f>
        <v/>
      </c>
      <c r="AB201" s="213" t="str">
        <f>IFERROR(IF(ISNUMBER(SEARCH("TẶNG",VLOOKUP(E201,'Dự thu chiết khấu'!$L$3:$AW$226,38,0))),"TẶNG",""),"")</f>
        <v/>
      </c>
      <c r="AC201" s="49">
        <f t="shared" si="26"/>
        <v>10493091.636363633</v>
      </c>
      <c r="AD201" s="11">
        <f>IFERROR(VLOOKUP(E201,'Dự thu chiết khấu'!$L$3:$AM$226,28,0),0)</f>
        <v>0</v>
      </c>
      <c r="AE201" s="11">
        <f>IFERROR(VLOOKUP(E201,'Dự thu chiết khấu'!$L$3:$AN$226,29,0),0)</f>
        <v>0</v>
      </c>
      <c r="AF201" s="11">
        <f>IFERROR(VLOOKUP(E201,'Dự thu chiết khấu'!$L$3:$AO$226,30,0),0)</f>
        <v>0</v>
      </c>
    </row>
    <row r="202" spans="1:32" ht="34.5">
      <c r="A202">
        <v>196</v>
      </c>
      <c r="B202" t="str">
        <f>IFERROR(INDEX('Dự thu chiết khấu'!$E:$E,MATCH(E202,'Dự thu chiết khấu'!$L:$L,0)),"")</f>
        <v>NGUYỄN HUỲNH DUY KHAN</v>
      </c>
      <c r="C202" s="51" t="str">
        <f>IFERROR(INDEX('Dự thu chiết khấu'!$F:$F,MATCH(E202,'Dự thu chiết khấu'!$L:$L,0)),"")</f>
        <v>CÔNG TY TNHH PHÒNG KHÁM QUỐC TẾ RĂNG HÀM MẶT LAZA BIÊN HOÀ</v>
      </c>
      <c r="D202" s="4" t="str">
        <f>IFERROR(INDEX('Dự thu chiết khấu'!$H:$H,MATCH(E202,'Dự thu chiết khấu'!$L:$L,0)),"")</f>
        <v>LIMO GREEN</v>
      </c>
      <c r="E202" s="4" t="str">
        <f>'Dự thu chiết khấu'!L199</f>
        <v>RLLVFPNT5TH757505</v>
      </c>
      <c r="F202" s="5" t="s">
        <v>122</v>
      </c>
      <c r="G202" s="5" t="str" cm="1">
        <f t="array" ref="G202">IFERROR(INDEX('DT-GV'!$X$6:$X$213,MATCH(1,('DT-GV'!$H$6:$H$213=E202)*('DT-GV'!$R$6:$R$213&lt;&gt;0),0)),IFERROR(VLOOKUP(E202,'DT-GV'!$H$6:$X$213,17,0),""))</f>
        <v>QTKD</v>
      </c>
      <c r="H202" s="8" t="str">
        <f>VLOOKUP(E202,'Dự thu chiết khấu'!$L$3:$M$226,2,0)</f>
        <v>S11001</v>
      </c>
      <c r="I202">
        <v>1</v>
      </c>
      <c r="J202" s="11">
        <f>VLOOKUP(E202,'Dự thu chiết khấu'!$L$3:$P$226,5,0)</f>
        <v>749000000</v>
      </c>
      <c r="K202" s="12">
        <f t="shared" si="22"/>
        <v>44940000</v>
      </c>
      <c r="L202" s="12">
        <f t="shared" si="23"/>
        <v>0</v>
      </c>
      <c r="M202" s="13">
        <f>IFERROR(VLOOKUP(E202,'Dự thu chiết khấu'!$L$3:$R$226,7,0),0)</f>
        <v>0</v>
      </c>
      <c r="N202" s="14">
        <f>IFERROR(VLOOKUP(E202,'Dự thu chiết khấu'!$L$3:$S$226,8,0),0)</f>
        <v>0</v>
      </c>
      <c r="O202" s="11">
        <f>IF(IFERROR(VLOOKUP(E202,'Dự thu chiết khấu'!$L$3:$T$226,9,0),0)&gt;0,J202*$O$5,0)</f>
        <v>0</v>
      </c>
      <c r="P202" s="13">
        <f>IFERROR(VLOOKUP(E202,'Dự thu chiết khấu'!$L$3:$U$226,10,0),0)</f>
        <v>0</v>
      </c>
      <c r="Q202" s="12">
        <f>IFERROR(VLOOKUP(E202,'Dự thu chiết khấu'!$L$3:$V$226,11,0),0)</f>
        <v>0</v>
      </c>
      <c r="R202" s="12">
        <f>VLOOKUP($E202,'Dự thu chiết khấu'!$L$3:$W$226,12,0)</f>
        <v>12000000</v>
      </c>
      <c r="S202" s="12">
        <f t="shared" si="24"/>
        <v>629145454.5454545</v>
      </c>
      <c r="T202" s="11">
        <f t="shared" si="25"/>
        <v>-0.45454549789428711</v>
      </c>
      <c r="U202" s="15">
        <f>SUMIFS('DT-GV'!$N$6:$N$213,'DT-GV'!$H$6:$H$213,E202,'DT-GV'!$R$6:$R$213,"&lt;&gt;0")</f>
        <v>629145455</v>
      </c>
      <c r="V202" s="48">
        <f>SUMIFS('DT-GV'!$N$6:$N$213,'DT-GV'!$H$6:$H$213,E202,'DT-GV'!$R$6:$R$213,0)</f>
        <v>0</v>
      </c>
      <c r="W202" s="15">
        <f>-SUMIFS('DT-GV'!$R$6:$R$213,'DT-GV'!$H$6:$H$213,E202)</f>
        <v>-653672727</v>
      </c>
      <c r="X202" s="11">
        <f>IFERROR(VLOOKUP($E202,'Dự thu chiết khấu'!$L$3:$AK$226,26,0)/1.1,0)</f>
        <v>39220363.636363633</v>
      </c>
      <c r="Y202" s="11">
        <f>IFERROR(VLOOKUP($E202,'Dự thu chiết khấu'!$L$3:$BE$226,46,0)/1.1,0)</f>
        <v>0</v>
      </c>
      <c r="Z202" s="11">
        <f>-SUMIF('Lương năng suất'!$R$4:$R$208,E202,'Lương năng suất'!$AQ$4:$AQ$208)</f>
        <v>-4200000</v>
      </c>
      <c r="AA202" s="213" t="str">
        <f>IFERROR(IF(ISNUMBER(SEARCH("TẶNG",VLOOKUP(E202,'Dự thu chiết khấu'!$L$3:$AV$226,37,0))),"TẶNG",""),"")</f>
        <v/>
      </c>
      <c r="AB202" s="213" t="str">
        <f>IFERROR(IF(ISNUMBER(SEARCH("TẶNG",VLOOKUP(E202,'Dự thu chiết khấu'!$L$3:$AW$226,38,0))),"TẶNG",""),"")</f>
        <v/>
      </c>
      <c r="AC202" s="49">
        <f t="shared" si="26"/>
        <v>10493091.636363633</v>
      </c>
      <c r="AD202" s="11">
        <f>IFERROR(VLOOKUP(E202,'Dự thu chiết khấu'!$L$3:$AM$226,28,0),0)</f>
        <v>0</v>
      </c>
      <c r="AE202" s="11">
        <f>IFERROR(VLOOKUP(E202,'Dự thu chiết khấu'!$L$3:$AN$226,29,0),0)</f>
        <v>0</v>
      </c>
      <c r="AF202" s="11">
        <f>IFERROR(VLOOKUP(E202,'Dự thu chiết khấu'!$L$3:$AO$226,30,0),0)</f>
        <v>0</v>
      </c>
    </row>
    <row r="203" spans="1:32">
      <c r="A203" s="11">
        <v>197</v>
      </c>
      <c r="B203" t="str">
        <f>IFERROR(INDEX('Dự thu chiết khấu'!$E:$E,MATCH(E203,'Dự thu chiết khấu'!$L:$L,0)),"")</f>
        <v>TRẦN ĐẶNG ANH HUY</v>
      </c>
      <c r="C203" s="51" t="str">
        <f>IFERROR(INDEX('Dự thu chiết khấu'!$F:$F,MATCH(E203,'Dự thu chiết khấu'!$L:$L,0)),"")</f>
        <v>NGÔ THẾ ĐỨC</v>
      </c>
      <c r="D203" s="4" t="str">
        <f>IFERROR(INDEX('Dự thu chiết khấu'!$H:$H,MATCH(E203,'Dự thu chiết khấu'!$L:$L,0)),"")</f>
        <v>LIMO GREEN</v>
      </c>
      <c r="E203" s="4" t="str">
        <f>'Dự thu chiết khấu'!L200</f>
        <v>RLLVFPNT6TH749588</v>
      </c>
      <c r="F203" s="5" t="s">
        <v>122</v>
      </c>
      <c r="G203" s="5" t="str" cm="1">
        <f t="array" ref="G203">IFERROR(INDEX('DT-GV'!$X$6:$X$213,MATCH(1,('DT-GV'!$H$6:$H$213=E203)*('DT-GV'!$R$6:$R$213&lt;&gt;0),0)),IFERROR(VLOOKUP(E203,'DT-GV'!$H$6:$X$213,17,0),""))</f>
        <v>QTKD</v>
      </c>
      <c r="H203" s="8" t="str">
        <f>VLOOKUP(E203,'Dự thu chiết khấu'!$L$3:$M$226,2,0)</f>
        <v>S11007</v>
      </c>
      <c r="I203">
        <v>1</v>
      </c>
      <c r="J203" s="11">
        <f>VLOOKUP(E203,'Dự thu chiết khấu'!$L$3:$P$226,5,0)</f>
        <v>749000000</v>
      </c>
      <c r="K203" s="12">
        <f t="shared" si="22"/>
        <v>0</v>
      </c>
      <c r="L203" s="12">
        <f t="shared" si="23"/>
        <v>0</v>
      </c>
      <c r="M203" s="13">
        <f>IFERROR(VLOOKUP(E203,'Dự thu chiết khấu'!$L$3:$R$226,7,0),0)</f>
        <v>7.0000000000000007E-2</v>
      </c>
      <c r="N203" s="14">
        <f>IFERROR(VLOOKUP(E203,'Dự thu chiết khấu'!$L$3:$S$226,8,0),0)</f>
        <v>0</v>
      </c>
      <c r="O203" s="11">
        <f>IF(IFERROR(VLOOKUP(E203,'Dự thu chiết khấu'!$L$3:$T$226,9,0),0)&gt;0,J203*$O$5,0)</f>
        <v>0</v>
      </c>
      <c r="P203" s="13">
        <f>IFERROR(VLOOKUP(E203,'Dự thu chiết khấu'!$L$3:$U$226,10,0),0)</f>
        <v>0</v>
      </c>
      <c r="Q203" s="12">
        <f>IFERROR(VLOOKUP(E203,'Dự thu chiết khấu'!$L$3:$V$226,11,0),0)</f>
        <v>0</v>
      </c>
      <c r="R203" s="12">
        <f>VLOOKUP($E203,'Dự thu chiết khấu'!$L$3:$W$226,12,0)</f>
        <v>12000000</v>
      </c>
      <c r="S203" s="12">
        <f t="shared" si="24"/>
        <v>670000000</v>
      </c>
      <c r="T203" s="11">
        <f t="shared" si="25"/>
        <v>0</v>
      </c>
      <c r="U203" s="15">
        <f>SUMIFS('DT-GV'!$N$6:$N$213,'DT-GV'!$H$6:$H$213,E203,'DT-GV'!$R$6:$R$213,"&lt;&gt;0")</f>
        <v>670000000</v>
      </c>
      <c r="V203" s="48">
        <f>SUMIFS('DT-GV'!$N$6:$N$213,'DT-GV'!$H$6:$H$213,E203,'DT-GV'!$R$6:$R$213,0)</f>
        <v>0</v>
      </c>
      <c r="W203" s="15">
        <f>-SUMIFS('DT-GV'!$R$6:$R$213,'DT-GV'!$H$6:$H$213,E203)</f>
        <v>-653672727</v>
      </c>
      <c r="X203" s="11">
        <f>IFERROR(VLOOKUP($E203,'Dự thu chiết khấu'!$L$3:$AK$226,26,0)/1.1,0)</f>
        <v>0</v>
      </c>
      <c r="Y203" s="11">
        <f>IFERROR(VLOOKUP($E203,'Dự thu chiết khấu'!$L$3:$BE$226,46,0)/1.1,0)</f>
        <v>6809090.9090909082</v>
      </c>
      <c r="Z203" s="11">
        <f>-SUMIF('Lương năng suất'!$R$4:$R$208,E203,'Lương năng suất'!$AQ$4:$AQ$208)</f>
        <v>-7200000</v>
      </c>
      <c r="AA203" s="213" t="str">
        <f>IFERROR(IF(ISNUMBER(SEARCH("TẶNG",VLOOKUP(E203,'Dự thu chiết khấu'!$L$3:$AV$226,37,0))),"TẶNG",""),"")</f>
        <v/>
      </c>
      <c r="AB203" s="213" t="str">
        <f>IFERROR(IF(ISNUMBER(SEARCH("TẶNG",VLOOKUP(E203,'Dự thu chiết khấu'!$L$3:$AW$226,38,0))),"TẶNG",""),"")</f>
        <v/>
      </c>
      <c r="AC203" s="49">
        <f t="shared" si="26"/>
        <v>15936363.909090906</v>
      </c>
      <c r="AD203" s="11">
        <f>IFERROR(VLOOKUP(E203,'Dự thu chiết khấu'!$L$3:$AM$226,28,0),0)</f>
        <v>0</v>
      </c>
      <c r="AE203" s="11">
        <f>IFERROR(VLOOKUP(E203,'Dự thu chiết khấu'!$L$3:$AN$226,29,0),0)</f>
        <v>0</v>
      </c>
      <c r="AF203" s="11">
        <f>IFERROR(VLOOKUP(E203,'Dự thu chiết khấu'!$L$3:$AO$226,30,0),0)</f>
        <v>0</v>
      </c>
    </row>
    <row r="204" spans="1:32">
      <c r="A204">
        <v>198</v>
      </c>
      <c r="B204" t="str">
        <f>IFERROR(INDEX('Dự thu chiết khấu'!$E:$E,MATCH(E204,'Dự thu chiết khấu'!$L:$L,0)),"")</f>
        <v>LÊ THANH THUỶ</v>
      </c>
      <c r="C204" s="51" t="str">
        <f>IFERROR(INDEX('Dự thu chiết khấu'!$F:$F,MATCH(E204,'Dự thu chiết khấu'!$L:$L,0)),"")</f>
        <v>NGUYỄN HỮU HƯỞNG</v>
      </c>
      <c r="D204" s="4" t="str">
        <f>IFERROR(INDEX('Dự thu chiết khấu'!$H:$H,MATCH(E204,'Dự thu chiết khấu'!$L:$L,0)),"")</f>
        <v>MPV 7</v>
      </c>
      <c r="E204" s="4" t="str">
        <f>'Dự thu chiết khấu'!L201</f>
        <v>RLLVFPTT7TH747741</v>
      </c>
      <c r="F204" s="5" t="s">
        <v>122</v>
      </c>
      <c r="G204" s="5" t="str" cm="1">
        <f t="array" ref="G204">IFERROR(INDEX('DT-GV'!$X$6:$X$213,MATCH(1,('DT-GV'!$H$6:$H$213=E204)*('DT-GV'!$R$6:$R$213&lt;&gt;0),0)),IFERROR(VLOOKUP(E204,'DT-GV'!$H$6:$X$213,17,0),""))</f>
        <v>QTKD</v>
      </c>
      <c r="H204" s="7" t="str">
        <f>VLOOKUP(E204,'Dự thu chiết khấu'!$L$3:$M$226,2,0)</f>
        <v>S11001</v>
      </c>
      <c r="I204">
        <v>1</v>
      </c>
      <c r="J204" s="11">
        <f>VLOOKUP(E204,'Dự thu chiết khấu'!$L$3:$P$226,5,0)</f>
        <v>819000000</v>
      </c>
      <c r="K204" s="12">
        <f t="shared" si="22"/>
        <v>49140000</v>
      </c>
      <c r="L204" s="12">
        <f t="shared" si="23"/>
        <v>0</v>
      </c>
      <c r="M204" s="13">
        <f>IFERROR(VLOOKUP(E204,'Dự thu chiết khấu'!$L$3:$R$226,7,0),0)</f>
        <v>0</v>
      </c>
      <c r="N204" s="14">
        <f>IFERROR(VLOOKUP(E204,'Dự thu chiết khấu'!$L$3:$S$226,8,0),0)</f>
        <v>0</v>
      </c>
      <c r="O204" s="11">
        <f>IF(IFERROR(VLOOKUP(E204,'Dự thu chiết khấu'!$L$3:$T$226,9,0),0)&gt;0,J204*$O$5,0)</f>
        <v>0</v>
      </c>
      <c r="P204" s="13">
        <f>IFERROR(VLOOKUP(E204,'Dự thu chiết khấu'!$L$3:$U$226,10,0),0)</f>
        <v>0</v>
      </c>
      <c r="Q204" s="12">
        <f>IFERROR(VLOOKUP(E204,'Dự thu chiết khấu'!$L$3:$V$226,11,0),0)</f>
        <v>0</v>
      </c>
      <c r="R204" s="12">
        <f>VLOOKUP($E204,'Dự thu chiết khấu'!$L$3:$W$226,12,0)</f>
        <v>15000000</v>
      </c>
      <c r="S204" s="12">
        <f t="shared" si="24"/>
        <v>686236363.63636363</v>
      </c>
      <c r="T204" s="11">
        <f t="shared" si="25"/>
        <v>-0.36363637447357178</v>
      </c>
      <c r="U204" s="15">
        <f>SUMIFS('DT-GV'!$N$6:$N$213,'DT-GV'!$H$6:$H$213,E204,'DT-GV'!$R$6:$R$213,"&lt;&gt;0")</f>
        <v>686236364</v>
      </c>
      <c r="V204" s="48">
        <f>SUMIFS('DT-GV'!$N$6:$N$213,'DT-GV'!$H$6:$H$213,E204,'DT-GV'!$R$6:$R$213,0)</f>
        <v>0</v>
      </c>
      <c r="W204" s="15">
        <f>-SUMIFS('DT-GV'!$R$6:$R$213,'DT-GV'!$H$6:$H$213,E204)</f>
        <v>-714763636</v>
      </c>
      <c r="X204" s="11">
        <f>IFERROR(VLOOKUP($E204,'Dự thu chiết khấu'!$L$3:$AK$226,26,0)/1.1,0)</f>
        <v>42885818.18181818</v>
      </c>
      <c r="Y204" s="11">
        <f>IFERROR(VLOOKUP($E204,'Dự thu chiết khấu'!$L$3:$BE$226,46,0)/1.1,0)</f>
        <v>0</v>
      </c>
      <c r="Z204" s="11">
        <f>-SUMIF('Lương năng suất'!$R$4:$R$208,E204,'Lương năng suất'!$AQ$4:$AQ$208)</f>
        <v>-3000000</v>
      </c>
      <c r="AA204" s="213" t="str">
        <f>IFERROR(IF(ISNUMBER(SEARCH("TẶNG",VLOOKUP(E204,'Dự thu chiết khấu'!$L$3:$AV$226,37,0))),"TẶNG",""),"")</f>
        <v/>
      </c>
      <c r="AB204" s="213" t="str">
        <f>IFERROR(IF(ISNUMBER(SEARCH("TẶNG",VLOOKUP(E204,'Dự thu chiết khấu'!$L$3:$AW$226,38,0))),"TẶNG",""),"")</f>
        <v/>
      </c>
      <c r="AC204" s="49">
        <f t="shared" si="26"/>
        <v>11358546.18181818</v>
      </c>
      <c r="AD204" s="11">
        <f>IFERROR(VLOOKUP(E204,'Dự thu chiết khấu'!$L$3:$AM$226,28,0),0)</f>
        <v>0</v>
      </c>
      <c r="AE204" s="11">
        <f>IFERROR(VLOOKUP(E204,'Dự thu chiết khấu'!$L$3:$AN$226,29,0),0)</f>
        <v>25000000</v>
      </c>
      <c r="AF204" s="11">
        <f>IFERROR(VLOOKUP(E204,'Dự thu chiết khấu'!$L$3:$AO$226,30,0),0)</f>
        <v>10000000</v>
      </c>
    </row>
    <row r="205" spans="1:32">
      <c r="A205" s="11">
        <v>199</v>
      </c>
      <c r="B205" t="str">
        <f>IFERROR(INDEX('Dự thu chiết khấu'!$E:$E,MATCH(E205,'Dự thu chiết khấu'!$L:$L,0)),"")</f>
        <v>LÊ THANH THUỶ</v>
      </c>
      <c r="C205" s="51" t="str">
        <f>IFERROR(INDEX('Dự thu chiết khấu'!$F:$F,MATCH(E205,'Dự thu chiết khấu'!$L:$L,0)),"")</f>
        <v>KHA KIM NGÂN</v>
      </c>
      <c r="D205" s="4" t="str">
        <f>IFERROR(INDEX('Dự thu chiết khấu'!$H:$H,MATCH(E205,'Dự thu chiết khấu'!$L:$L,0)),"")</f>
        <v>MPV 7</v>
      </c>
      <c r="E205" s="4" t="str">
        <f>'Dự thu chiết khấu'!L202</f>
        <v>RLLVFPTT8TH751183</v>
      </c>
      <c r="F205" s="5" t="s">
        <v>122</v>
      </c>
      <c r="G205" s="5" t="str" cm="1">
        <f t="array" ref="G205">IFERROR(INDEX('DT-GV'!$X$6:$X$213,MATCH(1,('DT-GV'!$H$6:$H$213=E205)*('DT-GV'!$R$6:$R$213&lt;&gt;0),0)),IFERROR(VLOOKUP(E205,'DT-GV'!$H$6:$X$213,17,0),""))</f>
        <v>QTKD</v>
      </c>
      <c r="H205" s="6" t="str">
        <f>VLOOKUP(E205,'Dự thu chiết khấu'!$L$3:$M$226,2,0)</f>
        <v>S11001</v>
      </c>
      <c r="I205">
        <v>1</v>
      </c>
      <c r="J205" s="11">
        <f>VLOOKUP(E205,'Dự thu chiết khấu'!$L$3:$P$226,5,0)</f>
        <v>819000000</v>
      </c>
      <c r="K205" s="12">
        <f>IF(M205&gt;0,0,IF(OR(LEFT(SUBSTITUTE(UPPER(D205)," ",""),3)="VF8",LEFT(SUBSTITUTE(UPPER(D205)," ",""),3)="VF9"),0,J205*$K$5))</f>
        <v>49140000</v>
      </c>
      <c r="L205" s="12">
        <f t="shared" si="23"/>
        <v>0</v>
      </c>
      <c r="M205" s="13">
        <f>IFERROR(VLOOKUP(E205,'Dự thu chiết khấu'!$L$3:$R$226,7,0),0)</f>
        <v>0</v>
      </c>
      <c r="N205" s="14">
        <f>IFERROR(VLOOKUP(E205,'Dự thu chiết khấu'!$L$3:$S$226,8,0),0)</f>
        <v>0</v>
      </c>
      <c r="O205" s="11">
        <f>IF(IFERROR(VLOOKUP(E205,'Dự thu chiết khấu'!$L$3:$T$226,9,0),0)&gt;0,J205*$O$5,0)</f>
        <v>24570000</v>
      </c>
      <c r="P205" s="13">
        <f>IFERROR(VLOOKUP(E205,'Dự thu chiết khấu'!$L$3:$U$226,10,0),0)</f>
        <v>0</v>
      </c>
      <c r="Q205" s="12">
        <f>IFERROR(VLOOKUP(E205,'Dự thu chiết khấu'!$L$3:$V$226,11,0),0)</f>
        <v>0</v>
      </c>
      <c r="R205" s="12">
        <f>VLOOKUP($E205,'Dự thu chiết khấu'!$L$3:$W$226,12,0)</f>
        <v>0</v>
      </c>
      <c r="S205" s="12">
        <f t="shared" si="24"/>
        <v>677536363.63636363</v>
      </c>
      <c r="T205" s="11">
        <f t="shared" si="25"/>
        <v>-0.36363637447357178</v>
      </c>
      <c r="U205" s="15">
        <f>SUMIFS('DT-GV'!$N$6:$N$213,'DT-GV'!$H$6:$H$213,E205,'DT-GV'!$R$6:$R$213,"&lt;&gt;0")</f>
        <v>677536364</v>
      </c>
      <c r="V205" s="48">
        <f>SUMIFS('DT-GV'!$N$6:$N$213,'DT-GV'!$H$6:$H$213,E205,'DT-GV'!$R$6:$R$213,0)</f>
        <v>0</v>
      </c>
      <c r="W205" s="15">
        <f>-SUMIFS('DT-GV'!$R$6:$R$213,'DT-GV'!$H$6:$H$213,E205)</f>
        <v>-714763636</v>
      </c>
      <c r="X205" s="11">
        <f>IFERROR(VLOOKUP($E205,'Dự thu chiết khấu'!$L$3:$AK$226,26,0)/1.1,0)</f>
        <v>64328727.272727266</v>
      </c>
      <c r="Y205" s="11">
        <f>IFERROR(VLOOKUP($E205,'Dự thu chiết khấu'!$L$3:$BE$226,46,0)/1.1,0)</f>
        <v>0</v>
      </c>
      <c r="Z205" s="11">
        <f>-SUMIF('Lương năng suất'!$R$4:$R$208,E205,'Lương năng suất'!$AQ$4:$AQ$208)</f>
        <v>-16000000</v>
      </c>
      <c r="AA205" s="213" t="str">
        <f>IFERROR(IF(ISNUMBER(SEARCH("TẶNG",VLOOKUP(E205,'Dự thu chiết khấu'!$L$3:$AV$226,37,0))),"TẶNG",""),"")</f>
        <v/>
      </c>
      <c r="AB205" s="213" t="str">
        <f>IFERROR(IF(ISNUMBER(SEARCH("TẶNG",VLOOKUP(E205,'Dự thu chiết khấu'!$L$3:$AW$226,38,0))),"TẶNG",""),"")</f>
        <v/>
      </c>
      <c r="AC205" s="49">
        <f t="shared" si="26"/>
        <v>11101455.272727266</v>
      </c>
      <c r="AD205" s="11">
        <f>IFERROR(VLOOKUP(E205,'Dự thu chiết khấu'!$L$3:$AM$226,28,0),0)</f>
        <v>0</v>
      </c>
      <c r="AE205" s="11">
        <f>IFERROR(VLOOKUP(E205,'Dự thu chiết khấu'!$L$3:$AN$226,29,0),0)</f>
        <v>15000000</v>
      </c>
      <c r="AF205" s="11">
        <f>IFERROR(VLOOKUP(E205,'Dự thu chiết khấu'!$L$3:$AO$226,30,0),0)</f>
        <v>0</v>
      </c>
    </row>
    <row r="206" spans="1:32" ht="34.5">
      <c r="A206">
        <v>200</v>
      </c>
      <c r="B206" t="str">
        <f>IFERROR(INDEX('Dự thu chiết khấu'!$E:$E,MATCH(E206,'Dự thu chiết khấu'!$L:$L,0)),"")</f>
        <v>PHẠM TRUNG KIÊN</v>
      </c>
      <c r="C206" s="51" t="str">
        <f>IFERROR(INDEX('Dự thu chiết khấu'!$F:$F,MATCH(E206,'Dự thu chiết khấu'!$L:$L,0)),"")</f>
        <v>CÔNG TY TNHH PHÒNG KHÁM CHUYÊN KHOA RĂNG HÀM MẶT LAZA SÀI GÒN</v>
      </c>
      <c r="D206" s="4" t="str">
        <f>IFERROR(INDEX('Dự thu chiết khấu'!$H:$H,MATCH(E206,'Dự thu chiết khấu'!$L:$L,0)),"")</f>
        <v>LIMO GREEN</v>
      </c>
      <c r="E206" s="4" t="str">
        <f>'Dự thu chiết khấu'!L203</f>
        <v>RLLVFPNT2TH758644</v>
      </c>
      <c r="F206" s="5" t="s">
        <v>122</v>
      </c>
      <c r="G206" s="5" t="str" cm="1">
        <f t="array" ref="G206">IFERROR(INDEX('DT-GV'!$X$6:$X$213,MATCH(1,('DT-GV'!$H$6:$H$213=E206)*('DT-GV'!$R$6:$R$213&lt;&gt;0),0)),IFERROR(VLOOKUP(E206,'DT-GV'!$H$6:$X$213,17,0),""))</f>
        <v>QTKD</v>
      </c>
      <c r="H206" s="7" t="str">
        <f>VLOOKUP(E206,'Dự thu chiết khấu'!$L$3:$M$226,2,0)</f>
        <v>S11001</v>
      </c>
      <c r="I206">
        <v>1</v>
      </c>
      <c r="J206" s="11">
        <f>VLOOKUP(E206,'Dự thu chiết khấu'!$L$3:$P$226,5,0)</f>
        <v>749000000</v>
      </c>
      <c r="K206" s="12">
        <f t="shared" ref="K206:K207" si="27">IF(M206&gt;0,0,IF(OR(LEFT(SUBSTITUTE(UPPER(D206)," ",""),3)="VF8",LEFT(SUBSTITUTE(UPPER(D206)," ",""),3)="VF9"),0,J206*$K$5))</f>
        <v>44940000</v>
      </c>
      <c r="L206" s="12">
        <f t="shared" si="23"/>
        <v>0</v>
      </c>
      <c r="M206" s="13">
        <f>IFERROR(VLOOKUP(E206,'Dự thu chiết khấu'!$L$3:$R$226,7,0),0)</f>
        <v>0</v>
      </c>
      <c r="N206" s="14">
        <f>IFERROR(VLOOKUP(E206,'Dự thu chiết khấu'!$L$3:$S$226,8,0),0)</f>
        <v>0</v>
      </c>
      <c r="O206" s="11">
        <f>IF(IFERROR(VLOOKUP(E206,'Dự thu chiết khấu'!$L$3:$T$226,9,0),0)&gt;0,J206*$O$5,0)</f>
        <v>0</v>
      </c>
      <c r="P206" s="13">
        <f>IFERROR(VLOOKUP(E206,'Dự thu chiết khấu'!$L$3:$U$226,10,0),0)</f>
        <v>0</v>
      </c>
      <c r="Q206" s="12">
        <f>IFERROR(VLOOKUP(E206,'Dự thu chiết khấu'!$L$3:$V$226,11,0),0)</f>
        <v>0</v>
      </c>
      <c r="R206" s="12">
        <f>VLOOKUP($E206,'Dự thu chiết khấu'!$L$3:$W$226,12,0)</f>
        <v>12000000</v>
      </c>
      <c r="S206" s="12">
        <f t="shared" si="24"/>
        <v>629145454.5454545</v>
      </c>
      <c r="T206" s="11">
        <f t="shared" si="25"/>
        <v>-0.45454549789428711</v>
      </c>
      <c r="U206" s="15">
        <f>SUMIFS('DT-GV'!$N$6:$N$213,'DT-GV'!$H$6:$H$213,E206,'DT-GV'!$R$6:$R$213,"&lt;&gt;0")</f>
        <v>629145455</v>
      </c>
      <c r="V206" s="48">
        <f>SUMIFS('DT-GV'!$N$6:$N$213,'DT-GV'!$H$6:$H$213,E206,'DT-GV'!$R$6:$R$213,0)</f>
        <v>0</v>
      </c>
      <c r="W206" s="15">
        <f>-SUMIFS('DT-GV'!$R$6:$R$213,'DT-GV'!$H$6:$H$213,E206)</f>
        <v>-653672727</v>
      </c>
      <c r="X206" s="11">
        <f>IFERROR(VLOOKUP($E206,'Dự thu chiết khấu'!$L$3:$AK$226,26,0)/1.1,0)</f>
        <v>39220363.636363633</v>
      </c>
      <c r="Y206" s="11">
        <f>IFERROR(VLOOKUP($E206,'Dự thu chiết khấu'!$L$3:$BE$226,46,0)/1.1,0)</f>
        <v>0</v>
      </c>
      <c r="Z206" s="11">
        <f>-SUMIF('Lương năng suất'!$R$4:$R$208,E206,'Lương năng suất'!$AQ$4:$AQ$208)</f>
        <v>-4200000</v>
      </c>
      <c r="AA206" s="213" t="str">
        <f>IFERROR(IF(ISNUMBER(SEARCH("TẶNG",VLOOKUP(E206,'Dự thu chiết khấu'!$L$3:$AV$226,37,0))),"TẶNG",""),"")</f>
        <v/>
      </c>
      <c r="AB206" s="213" t="str">
        <f>IFERROR(IF(ISNUMBER(SEARCH("TẶNG",VLOOKUP(E206,'Dự thu chiết khấu'!$L$3:$AW$226,38,0))),"TẶNG",""),"")</f>
        <v/>
      </c>
      <c r="AC206" s="49">
        <f t="shared" si="26"/>
        <v>10493091.636363633</v>
      </c>
      <c r="AD206" s="11">
        <f>IFERROR(VLOOKUP(E206,'Dự thu chiết khấu'!$L$3:$AM$226,28,0),0)</f>
        <v>0</v>
      </c>
      <c r="AE206" s="11">
        <f>IFERROR(VLOOKUP(E206,'Dự thu chiết khấu'!$L$3:$AN$226,29,0),0)</f>
        <v>0</v>
      </c>
      <c r="AF206" s="11">
        <f>IFERROR(VLOOKUP(E206,'Dự thu chiết khấu'!$L$3:$AO$226,30,0),0)</f>
        <v>0</v>
      </c>
    </row>
    <row r="207" spans="1:32" ht="23">
      <c r="A207" s="11">
        <v>201</v>
      </c>
      <c r="B207" t="str">
        <f>IFERROR(INDEX('Dự thu chiết khấu'!$E:$E,MATCH(E207,'Dự thu chiết khấu'!$L:$L,0)),"")</f>
        <v>HUỲNH VĂN BẢO</v>
      </c>
      <c r="C207" s="51" t="str">
        <f>IFERROR(INDEX('Dự thu chiết khấu'!$F:$F,MATCH(E207,'Dự thu chiết khấu'!$L:$L,0)),"")</f>
        <v>CÔNG TY TNHH GAS SAO MAI</v>
      </c>
      <c r="D207" s="4" t="str">
        <f>IFERROR(INDEX('Dự thu chiết khấu'!$H:$H,MATCH(E207,'Dự thu chiết khấu'!$L:$L,0)),"")</f>
        <v>LIMO GREEN</v>
      </c>
      <c r="E207" s="4" t="str">
        <f>'Dự thu chiết khấu'!L204</f>
        <v>RLLVFPNTXTH702483</v>
      </c>
      <c r="F207" s="5" t="s">
        <v>104</v>
      </c>
      <c r="G207" s="5" t="str" cm="1">
        <f t="array" ref="G207">IFERROR(INDEX('DT-GV'!$X$6:$X$213,MATCH(1,('DT-GV'!$H$6:$H$213=E207)*('DT-GV'!$R$6:$R$213&lt;&gt;0),0)),IFERROR(VLOOKUP(E207,'DT-GV'!$H$6:$X$213,17,0),""))</f>
        <v>SLKD</v>
      </c>
      <c r="H207" s="7" t="str">
        <f>VLOOKUP(E207,'Dự thu chiết khấu'!$L$3:$M$226,2,0)</f>
        <v>S11007</v>
      </c>
      <c r="I207">
        <v>1</v>
      </c>
      <c r="J207" s="11">
        <f>VLOOKUP(E207,'Dự thu chiết khấu'!$L$3:$P$226,5,0)</f>
        <v>749000000</v>
      </c>
      <c r="K207" s="12">
        <f t="shared" si="27"/>
        <v>44940000</v>
      </c>
      <c r="L207" s="12">
        <f t="shared" ref="L207" si="28">IF(M207&gt;0,0,IF(OR(LEFT(SUBSTITUTE(UPPER(D207)," ",""),3)="VF8",LEFT(SUBSTITUTE(UPPER(D207)," ",""),3)="VF9"),J207*$L$5,0))</f>
        <v>0</v>
      </c>
      <c r="M207" s="13">
        <f>IFERROR(VLOOKUP(E207,'Dự thu chiết khấu'!$L$3:$R$226,7,0),0)</f>
        <v>0</v>
      </c>
      <c r="N207" s="14">
        <f>IFERROR(VLOOKUP(E207,'Dự thu chiết khấu'!$L$3:$S$226,8,0),0)</f>
        <v>0</v>
      </c>
      <c r="O207" s="11">
        <f>IF(IFERROR(VLOOKUP(E207,'Dự thu chiết khấu'!$L$3:$T$226,9,0),0)&gt;0,J207*$O$5,0)</f>
        <v>0</v>
      </c>
      <c r="P207" s="13">
        <f>IFERROR(VLOOKUP(E207,'Dự thu chiết khấu'!$L$3:$U$226,10,0),0)</f>
        <v>0</v>
      </c>
      <c r="Q207" s="12">
        <f>IFERROR(VLOOKUP(E207,'Dự thu chiết khấu'!$L$3:$V$226,11,0),0)</f>
        <v>0</v>
      </c>
      <c r="R207" s="12">
        <f>VLOOKUP($E207,'Dự thu chiết khấu'!$L$3:$W$226,12,0)</f>
        <v>10000000</v>
      </c>
      <c r="S207" s="12">
        <f t="shared" si="24"/>
        <v>630963636.36363626</v>
      </c>
      <c r="T207" s="11">
        <f t="shared" ref="T207" si="29">S207-SUM(U207:V207)</f>
        <v>0.36363625526428223</v>
      </c>
      <c r="U207" s="15">
        <f>SUMIFS('DT-GV'!$N$6:$N$213,'DT-GV'!$H$6:$H$213,E207,'DT-GV'!$R$6:$R$213,"&lt;&gt;0")</f>
        <v>630963636</v>
      </c>
      <c r="V207" s="48">
        <f>SUMIFS('DT-GV'!$N$6:$N$213,'DT-GV'!$H$6:$H$213,E207,'DT-GV'!$R$6:$R$213,0)</f>
        <v>0</v>
      </c>
      <c r="W207" s="15">
        <f>-SUMIFS('DT-GV'!$R$6:$R$213,'DT-GV'!$H$6:$H$213,E207)</f>
        <v>-653672727</v>
      </c>
      <c r="X207" s="11">
        <f>IFERROR(VLOOKUP($E207,'Dự thu chiết khấu'!$L$3:$AK$226,26,0)/1.1,0)</f>
        <v>39220363.636363633</v>
      </c>
      <c r="Y207" s="11">
        <f>IFERROR(VLOOKUP($E207,'Dự thu chiết khấu'!$L$3:$BE$226,46,0)/1.1,0)</f>
        <v>0</v>
      </c>
      <c r="Z207" s="11">
        <f>-SUMIF('Lương năng suất'!$R$4:$R$208,E207,'Lương năng suất'!$AQ$4:$AQ$208)</f>
        <v>-8400000</v>
      </c>
      <c r="AA207" s="213" t="str">
        <f>IFERROR(IF(ISNUMBER(SEARCH("TẶNG",VLOOKUP(E207,'Dự thu chiết khấu'!$L$3:$AV$226,37,0))),"TẶNG",""),"")</f>
        <v/>
      </c>
      <c r="AB207" s="213" t="str">
        <f>IFERROR(IF(ISNUMBER(SEARCH("TẶNG",VLOOKUP(E207,'Dự thu chiết khấu'!$L$3:$AW$226,38,0))),"TẶNG",""),"")</f>
        <v/>
      </c>
      <c r="AC207" s="49">
        <f t="shared" ref="AC207" si="30">SUM(U207:AB207)</f>
        <v>8111272.636363633</v>
      </c>
      <c r="AD207" s="11">
        <f>IFERROR(VLOOKUP(E207,'Dự thu chiết khấu'!$L$3:$AM$226,28,0),0)</f>
        <v>0</v>
      </c>
      <c r="AE207" s="11">
        <f>IFERROR(VLOOKUP(E207,'Dự thu chiết khấu'!$L$3:$AN$226,29,0),0)</f>
        <v>0</v>
      </c>
      <c r="AF207" s="11">
        <f>IFERROR(VLOOKUP(E207,'Dự thu chiết khấu'!$L$3:$AO$226,30,0),0)</f>
        <v>10000000</v>
      </c>
    </row>
    <row r="208" spans="1:32">
      <c r="X208" s="11"/>
    </row>
    <row r="213" spans="19:21">
      <c r="S213" s="11"/>
      <c r="U213" s="11"/>
    </row>
    <row r="214" spans="19:21">
      <c r="S214" s="11"/>
    </row>
  </sheetData>
  <autoFilter ref="A6:AF207" xr:uid="{D6B582CC-4615-4C99-82BC-7441721CBBA6}"/>
  <conditionalFormatting sqref="E3">
    <cfRule type="duplicateValues" dxfId="14" priority="3"/>
  </conditionalFormatting>
  <conditionalFormatting sqref="E5:E6">
    <cfRule type="duplicateValues" dxfId="13" priority="2"/>
  </conditionalFormatting>
  <conditionalFormatting sqref="E7:E207">
    <cfRule type="duplicateValues" dxfId="12" priority="8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A456C-EC62-4F80-909E-398A15A28245}">
  <sheetPr filterMode="1"/>
  <dimension ref="A1:AC218"/>
  <sheetViews>
    <sheetView topLeftCell="K1" workbookViewId="0">
      <selection activeCell="R127" sqref="R127"/>
    </sheetView>
  </sheetViews>
  <sheetFormatPr defaultColWidth="8.7265625" defaultRowHeight="14.5"/>
  <cols>
    <col min="1" max="1" width="12.54296875" style="202" customWidth="1"/>
    <col min="2" max="2" width="9.7265625" style="202" customWidth="1"/>
    <col min="3" max="4" width="12.54296875" style="202" customWidth="1"/>
    <col min="5" max="5" width="15.453125" style="202" customWidth="1"/>
    <col min="6" max="6" width="33" style="202" customWidth="1"/>
    <col min="7" max="7" width="44" style="202" customWidth="1"/>
    <col min="8" max="8" width="20.453125" style="202" customWidth="1"/>
    <col min="9" max="9" width="15.453125" style="202" customWidth="1"/>
    <col min="10" max="10" width="44" style="202" customWidth="1"/>
    <col min="11" max="11" width="15.453125" style="202" customWidth="1"/>
    <col min="12" max="12" width="13.54296875" style="202" bestFit="1" customWidth="1"/>
    <col min="13" max="13" width="15.453125" style="202" customWidth="1"/>
    <col min="14" max="14" width="15" style="202" bestFit="1" customWidth="1"/>
    <col min="15" max="15" width="11.1796875" style="202" bestFit="1" customWidth="1"/>
    <col min="16" max="16" width="15.453125" style="202" bestFit="1" customWidth="1"/>
    <col min="17" max="17" width="18.26953125" style="202" customWidth="1"/>
    <col min="18" max="18" width="15.453125" style="202" customWidth="1"/>
    <col min="19" max="19" width="18.26953125" style="202" customWidth="1"/>
    <col min="20" max="22" width="15.453125" style="202" customWidth="1"/>
    <col min="23" max="23" width="12.26953125" style="202" bestFit="1" customWidth="1"/>
    <col min="24" max="24" width="13" style="202" bestFit="1" customWidth="1"/>
    <col min="25" max="25" width="14.26953125" style="202" bestFit="1" customWidth="1"/>
    <col min="26" max="26" width="14.453125" style="202" customWidth="1"/>
    <col min="27" max="27" width="12.54296875" style="202" bestFit="1" customWidth="1"/>
    <col min="28" max="29" width="15.26953125" style="202" bestFit="1" customWidth="1"/>
    <col min="30" max="16384" width="8.7265625" style="202"/>
  </cols>
  <sheetData>
    <row r="1" spans="1:29" ht="21" customHeight="1"/>
    <row r="2" spans="1:29" ht="10.5" customHeight="1">
      <c r="A2" s="316" t="s">
        <v>1298</v>
      </c>
      <c r="B2" s="317"/>
      <c r="C2" s="317"/>
      <c r="D2" s="317"/>
      <c r="E2" s="317"/>
      <c r="F2" s="317"/>
      <c r="G2" s="317"/>
      <c r="H2" s="317"/>
      <c r="I2" s="317"/>
      <c r="J2" s="317"/>
      <c r="K2" s="317"/>
      <c r="L2" s="317"/>
      <c r="M2" s="317"/>
      <c r="N2" s="317"/>
      <c r="O2" s="317"/>
      <c r="P2" s="317"/>
      <c r="Q2" s="317"/>
      <c r="R2" s="317"/>
      <c r="S2" s="317"/>
      <c r="T2" s="317"/>
      <c r="U2" s="317"/>
      <c r="V2" s="317"/>
      <c r="W2" s="317"/>
      <c r="X2" s="317"/>
      <c r="Y2" s="317"/>
      <c r="Z2" s="317"/>
    </row>
    <row r="3" spans="1:29" ht="10.5" customHeight="1">
      <c r="A3" s="318" t="s">
        <v>1299</v>
      </c>
      <c r="B3" s="317"/>
      <c r="C3" s="317"/>
      <c r="D3" s="317"/>
      <c r="E3" s="317"/>
      <c r="F3" s="317"/>
      <c r="G3" s="317"/>
      <c r="H3" s="317"/>
      <c r="I3" s="317"/>
      <c r="J3" s="317"/>
      <c r="K3" s="317"/>
      <c r="L3" s="317"/>
      <c r="M3" s="317"/>
      <c r="N3" s="317"/>
      <c r="O3" s="317"/>
      <c r="P3" s="317"/>
      <c r="Q3" s="317"/>
      <c r="R3" s="317"/>
      <c r="S3" s="317"/>
      <c r="T3" s="317"/>
      <c r="U3" s="317"/>
      <c r="V3" s="317"/>
      <c r="W3" s="317"/>
      <c r="X3" s="317"/>
      <c r="Y3" s="317"/>
      <c r="Z3" s="317"/>
    </row>
    <row r="4" spans="1:29" ht="10.5" customHeight="1"/>
    <row r="5" spans="1:29" ht="21" customHeight="1">
      <c r="A5" s="203" t="s">
        <v>0</v>
      </c>
      <c r="B5" s="203" t="s">
        <v>1</v>
      </c>
      <c r="C5" s="203" t="s">
        <v>2</v>
      </c>
      <c r="D5" s="203" t="s">
        <v>216</v>
      </c>
      <c r="E5" s="203" t="s">
        <v>3</v>
      </c>
      <c r="F5" s="203" t="s">
        <v>4</v>
      </c>
      <c r="G5" s="203" t="s">
        <v>5</v>
      </c>
      <c r="H5" s="203" t="s">
        <v>38</v>
      </c>
      <c r="I5" s="203" t="s">
        <v>1300</v>
      </c>
      <c r="J5" s="203" t="s">
        <v>1301</v>
      </c>
      <c r="K5" s="203" t="s">
        <v>1302</v>
      </c>
      <c r="L5" s="203" t="s">
        <v>40</v>
      </c>
      <c r="M5" s="203" t="s">
        <v>1303</v>
      </c>
      <c r="N5" s="203" t="s">
        <v>41</v>
      </c>
      <c r="O5" s="203" t="s">
        <v>1304</v>
      </c>
      <c r="P5" s="203" t="s">
        <v>1305</v>
      </c>
      <c r="Q5" s="203" t="s">
        <v>1306</v>
      </c>
      <c r="R5" s="203" t="s">
        <v>43</v>
      </c>
      <c r="S5" s="203" t="s">
        <v>1307</v>
      </c>
      <c r="T5" s="203" t="s">
        <v>1308</v>
      </c>
      <c r="U5" s="203" t="s">
        <v>1309</v>
      </c>
      <c r="V5" s="203" t="s">
        <v>1310</v>
      </c>
      <c r="W5" s="203" t="s">
        <v>6</v>
      </c>
      <c r="X5" s="203" t="s">
        <v>7</v>
      </c>
      <c r="Y5" s="203" t="s">
        <v>1311</v>
      </c>
    </row>
    <row r="6" spans="1:29" ht="50">
      <c r="A6" s="289">
        <v>46114</v>
      </c>
      <c r="B6" s="290" t="s">
        <v>8</v>
      </c>
      <c r="C6" s="291" t="s">
        <v>1985</v>
      </c>
      <c r="D6" s="291" t="s">
        <v>1312</v>
      </c>
      <c r="E6" s="290" t="s">
        <v>1986</v>
      </c>
      <c r="F6" s="290" t="s">
        <v>1987</v>
      </c>
      <c r="G6" s="290" t="s">
        <v>1988</v>
      </c>
      <c r="H6" s="204" t="str" cm="1">
        <f t="array" ref="H6">IFERROR(TRIM(LEFT(SUBSTITUTE(MID(G6,FIND("SK:",G6)+3,50),"-",REPT(" ",50)),50)),IFERROR(TRIM(LEFT(SUBSTITUTE(MID(J6,FIND("SK:",J6)+3,50),"-",REPT(" ",50)),50)),IFERROR(INDEX($H$6:$H$211,MATCH(1,(($I$6:$I$211=I6)*(ISNUMBER(SEARCH("SK:",$G$6:$G$211)))),0)),"")))</f>
        <v>RLLVAG8C0TH705855</v>
      </c>
      <c r="I6" s="290" t="s">
        <v>1989</v>
      </c>
      <c r="J6" s="290" t="s">
        <v>1990</v>
      </c>
      <c r="K6" s="290" t="s">
        <v>1313</v>
      </c>
      <c r="L6" s="292">
        <v>0</v>
      </c>
      <c r="M6" s="293">
        <v>0</v>
      </c>
      <c r="N6" s="294">
        <v>0</v>
      </c>
      <c r="O6" s="294">
        <v>-1</v>
      </c>
      <c r="P6" s="294">
        <v>0</v>
      </c>
      <c r="Q6" s="294">
        <v>-1</v>
      </c>
      <c r="R6" s="293">
        <v>0</v>
      </c>
      <c r="S6" s="294">
        <v>0</v>
      </c>
      <c r="T6" s="290" t="s">
        <v>12</v>
      </c>
      <c r="U6" s="290" t="s">
        <v>1314</v>
      </c>
      <c r="V6" s="290" t="s">
        <v>11</v>
      </c>
      <c r="W6" s="290" t="s">
        <v>9</v>
      </c>
      <c r="X6" s="290" t="s">
        <v>15</v>
      </c>
      <c r="Y6" s="204" t="s">
        <v>1312</v>
      </c>
      <c r="Z6" s="313">
        <f>S6*1.1</f>
        <v>0</v>
      </c>
    </row>
    <row r="7" spans="1:29" ht="50">
      <c r="A7" s="289">
        <v>46114</v>
      </c>
      <c r="B7" s="290" t="s">
        <v>8</v>
      </c>
      <c r="C7" s="291" t="s">
        <v>1009</v>
      </c>
      <c r="D7" s="291" t="s">
        <v>1009</v>
      </c>
      <c r="E7" s="290" t="s">
        <v>1315</v>
      </c>
      <c r="F7" s="290" t="s">
        <v>363</v>
      </c>
      <c r="G7" s="290" t="s">
        <v>1316</v>
      </c>
      <c r="H7" s="204" t="str" cm="1">
        <f t="array" ref="H7">IFERROR(TRIM(LEFT(SUBSTITUTE(MID(G7,FIND("SK:",G7)+3,50),"-",REPT(" ",50)),50)),IFERROR(TRIM(LEFT(SUBSTITUTE(MID(J7,FIND("SK:",J7)+3,50),"-",REPT(" ",50)),50)),IFERROR(INDEX($H$6:$H$211,MATCH(1,(($I$6:$I$211=I7)*(ISNUMBER(SEARCH("SK:",$G$6:$G$211)))),0)),"")))</f>
        <v>RLLV1AUA2TH997462</v>
      </c>
      <c r="I7" s="290" t="s">
        <v>1317</v>
      </c>
      <c r="J7" s="290" t="s">
        <v>1316</v>
      </c>
      <c r="K7" s="290" t="s">
        <v>1313</v>
      </c>
      <c r="L7" s="292">
        <v>1</v>
      </c>
      <c r="M7" s="293">
        <v>935772727</v>
      </c>
      <c r="N7" s="294">
        <v>935772727</v>
      </c>
      <c r="O7" s="294">
        <v>93577273</v>
      </c>
      <c r="P7" s="294">
        <v>0</v>
      </c>
      <c r="Q7" s="294">
        <v>1029350000</v>
      </c>
      <c r="R7" s="293">
        <v>1040359091</v>
      </c>
      <c r="S7" s="294">
        <v>1040359091</v>
      </c>
      <c r="T7" s="290" t="s">
        <v>12</v>
      </c>
      <c r="U7" s="290" t="s">
        <v>1318</v>
      </c>
      <c r="V7" s="290" t="s">
        <v>11</v>
      </c>
      <c r="W7" s="290" t="s">
        <v>9</v>
      </c>
      <c r="X7" s="290" t="s">
        <v>10</v>
      </c>
      <c r="Y7" s="204" t="s">
        <v>1312</v>
      </c>
      <c r="Z7" s="313">
        <f t="shared" ref="Z7:Z70" si="0">S7*1.1</f>
        <v>1144395000.1000001</v>
      </c>
      <c r="AA7" s="314">
        <f>VLOOKUP(H7,'Dự thu chiết khấu'!$L$4:$AB$204,17,0)-Z7</f>
        <v>-0.10000014305114746</v>
      </c>
    </row>
    <row r="8" spans="1:29" ht="50">
      <c r="A8" s="289">
        <v>46114</v>
      </c>
      <c r="B8" s="290" t="s">
        <v>8</v>
      </c>
      <c r="C8" s="291" t="s">
        <v>1011</v>
      </c>
      <c r="D8" s="291" t="s">
        <v>1011</v>
      </c>
      <c r="E8" s="290" t="s">
        <v>1319</v>
      </c>
      <c r="F8" s="290" t="s">
        <v>1012</v>
      </c>
      <c r="G8" s="290" t="s">
        <v>1320</v>
      </c>
      <c r="H8" s="204" t="str" cm="1">
        <f t="array" ref="H8">IFERROR(TRIM(LEFT(SUBSTITUTE(MID(G8,FIND("SK:",G8)+3,50),"-",REPT(" ",50)),50)),IFERROR(TRIM(LEFT(SUBSTITUTE(MID(J8,FIND("SK:",J8)+3,50),"-",REPT(" ",50)),50)),IFERROR(INDEX($H$6:$H$211,MATCH(1,(($I$6:$I$211=I8)*(ISNUMBER(SEARCH("SK:",$G$6:$G$211)))),0)),"")))</f>
        <v>RLNVBL9K2TT711527</v>
      </c>
      <c r="I8" s="290" t="s">
        <v>1321</v>
      </c>
      <c r="J8" s="290" t="s">
        <v>1320</v>
      </c>
      <c r="K8" s="290" t="s">
        <v>1313</v>
      </c>
      <c r="L8" s="292">
        <v>1</v>
      </c>
      <c r="M8" s="293">
        <v>260590909</v>
      </c>
      <c r="N8" s="294">
        <v>260590909</v>
      </c>
      <c r="O8" s="294">
        <v>26059091</v>
      </c>
      <c r="P8" s="294">
        <v>0</v>
      </c>
      <c r="Q8" s="294">
        <v>286650000</v>
      </c>
      <c r="R8" s="293">
        <v>274909091</v>
      </c>
      <c r="S8" s="294">
        <v>274909091</v>
      </c>
      <c r="T8" s="290" t="s">
        <v>12</v>
      </c>
      <c r="U8" s="290" t="s">
        <v>1314</v>
      </c>
      <c r="V8" s="290" t="s">
        <v>11</v>
      </c>
      <c r="W8" s="290" t="s">
        <v>9</v>
      </c>
      <c r="X8" s="290" t="s">
        <v>15</v>
      </c>
      <c r="Y8" s="204" t="s">
        <v>1312</v>
      </c>
      <c r="Z8" s="313">
        <f t="shared" si="0"/>
        <v>302400000.10000002</v>
      </c>
      <c r="AA8" s="314">
        <f>VLOOKUP(H8,'Dự thu chiết khấu'!$L$4:$AB$204,17,0)-Z8</f>
        <v>-0.10000002384185791</v>
      </c>
    </row>
    <row r="9" spans="1:29" ht="40">
      <c r="A9" s="289">
        <v>46114</v>
      </c>
      <c r="B9" s="290" t="s">
        <v>8</v>
      </c>
      <c r="C9" s="291" t="s">
        <v>1013</v>
      </c>
      <c r="D9" s="291" t="s">
        <v>1013</v>
      </c>
      <c r="E9" s="290" t="s">
        <v>1322</v>
      </c>
      <c r="F9" s="290" t="s">
        <v>316</v>
      </c>
      <c r="G9" s="290" t="s">
        <v>1323</v>
      </c>
      <c r="H9" s="204" t="str" cm="1">
        <f t="array" ref="H9">IFERROR(TRIM(LEFT(SUBSTITUTE(MID(G9,FIND("SK:",G9)+3,50),"-",REPT(" ",50)),50)),IFERROR(TRIM(LEFT(SUBSTITUTE(MID(J9,FIND("SK:",J9)+3,50),"-",REPT(" ",50)),50)),IFERROR(INDEX($H$6:$H$211,MATCH(1,(($I$6:$I$211=I9)*(ISNUMBER(SEARCH("SK:",$G$6:$G$211)))),0)),"")))</f>
        <v>RLLVAG8C8TH712424</v>
      </c>
      <c r="I9" s="290" t="s">
        <v>1324</v>
      </c>
      <c r="J9" s="290" t="s">
        <v>1323</v>
      </c>
      <c r="K9" s="290" t="s">
        <v>1313</v>
      </c>
      <c r="L9" s="292">
        <v>1</v>
      </c>
      <c r="M9" s="293">
        <v>632090909</v>
      </c>
      <c r="N9" s="294">
        <v>632090909</v>
      </c>
      <c r="O9" s="294">
        <v>63209091</v>
      </c>
      <c r="P9" s="294">
        <v>0</v>
      </c>
      <c r="Q9" s="294">
        <v>695300000</v>
      </c>
      <c r="R9" s="293">
        <v>651927272</v>
      </c>
      <c r="S9" s="294">
        <v>651927272</v>
      </c>
      <c r="T9" s="290" t="s">
        <v>12</v>
      </c>
      <c r="U9" s="290" t="s">
        <v>1318</v>
      </c>
      <c r="V9" s="290" t="s">
        <v>11</v>
      </c>
      <c r="W9" s="290" t="s">
        <v>9</v>
      </c>
      <c r="X9" s="290" t="s">
        <v>14</v>
      </c>
      <c r="Y9" s="204" t="s">
        <v>1312</v>
      </c>
      <c r="Z9" s="313">
        <f t="shared" si="0"/>
        <v>717119999.20000005</v>
      </c>
      <c r="AA9" s="314">
        <f>VLOOKUP(H9,'Dự thu chiết khấu'!$L$4:$AB$204,17,0)-Z9</f>
        <v>0.79999995231628418</v>
      </c>
      <c r="AB9" s="313">
        <v>717120000</v>
      </c>
      <c r="AC9" s="315"/>
    </row>
    <row r="10" spans="1:29" ht="10.5" hidden="1" customHeight="1">
      <c r="A10" s="289">
        <v>46114</v>
      </c>
      <c r="B10" s="290" t="s">
        <v>8</v>
      </c>
      <c r="C10" s="291" t="s">
        <v>1014</v>
      </c>
      <c r="D10" s="291" t="s">
        <v>1014</v>
      </c>
      <c r="E10" s="290" t="s">
        <v>1325</v>
      </c>
      <c r="F10" s="290" t="s">
        <v>370</v>
      </c>
      <c r="G10" s="290" t="s">
        <v>1326</v>
      </c>
      <c r="H10" s="204" t="str" cm="1">
        <f t="array" ref="H10">IFERROR(TRIM(LEFT(SUBSTITUTE(MID(G10,FIND("SK:",G10)+3,50),"-",REPT(" ",50)),50)),IFERROR(TRIM(LEFT(SUBSTITUTE(MID(J10,FIND("SK:",J10)+3,50),"-",REPT(" ",50)),50)),IFERROR(INDEX($H$6:$H$211,MATCH(1,(($I$6:$I$211=I10)*(ISNUMBER(SEARCH("SK:",$G$6:$G$211)))),0)),"")))</f>
        <v>RLNVMNMS7ST700177</v>
      </c>
      <c r="I10" s="290" t="s">
        <v>1327</v>
      </c>
      <c r="J10" s="290" t="s">
        <v>1326</v>
      </c>
      <c r="K10" s="290" t="s">
        <v>1313</v>
      </c>
      <c r="L10" s="292">
        <v>1</v>
      </c>
      <c r="M10" s="293">
        <v>224418182</v>
      </c>
      <c r="N10" s="294">
        <v>224418182</v>
      </c>
      <c r="O10" s="294">
        <v>22441818</v>
      </c>
      <c r="P10" s="294">
        <v>0</v>
      </c>
      <c r="Q10" s="294">
        <v>246860000</v>
      </c>
      <c r="R10" s="293">
        <v>234763636</v>
      </c>
      <c r="S10" s="294">
        <v>234763636</v>
      </c>
      <c r="T10" s="290" t="s">
        <v>12</v>
      </c>
      <c r="U10" s="290" t="s">
        <v>1318</v>
      </c>
      <c r="V10" s="290" t="s">
        <v>11</v>
      </c>
      <c r="W10" s="290" t="s">
        <v>9</v>
      </c>
      <c r="X10" s="290" t="s">
        <v>10</v>
      </c>
      <c r="Y10" s="204" t="s">
        <v>1312</v>
      </c>
      <c r="Z10" s="313">
        <f t="shared" si="0"/>
        <v>258239999.60000002</v>
      </c>
      <c r="AA10" s="314">
        <f>VLOOKUP(H10,'Dự thu chiết khấu'!$L$4:$AB$204,17,0)-Z10</f>
        <v>0.39999997615814209</v>
      </c>
    </row>
    <row r="11" spans="1:29" ht="10.5" hidden="1" customHeight="1">
      <c r="A11" s="289">
        <v>46115</v>
      </c>
      <c r="B11" s="290" t="s">
        <v>8</v>
      </c>
      <c r="C11" s="291" t="s">
        <v>1328</v>
      </c>
      <c r="D11" s="291" t="s">
        <v>1312</v>
      </c>
      <c r="E11" s="290" t="s">
        <v>26</v>
      </c>
      <c r="F11" s="290" t="s">
        <v>27</v>
      </c>
      <c r="G11" s="290" t="s">
        <v>1329</v>
      </c>
      <c r="H11" s="204" t="str" cm="1">
        <f t="array" ref="H11">IFERROR(TRIM(LEFT(SUBSTITUTE(MID(G11,FIND("SK:",G11)+3,50),"-",REPT(" ",50)),50)),IFERROR(TRIM(LEFT(SUBSTITUTE(MID(J11,FIND("SK:",J11)+3,50),"-",REPT(" ",50)),50)),IFERROR(INDEX($H$6:$H$211,MATCH(1,(($I$6:$I$211=I11)*(ISNUMBER(SEARCH("SK:",$G$6:$G$211)))),0)),"")))</f>
        <v>RLNV5JSE7SH886194</v>
      </c>
      <c r="I11" s="290" t="s">
        <v>1330</v>
      </c>
      <c r="J11" s="290" t="s">
        <v>28</v>
      </c>
      <c r="K11" s="290" t="s">
        <v>1313</v>
      </c>
      <c r="L11" s="292">
        <v>0</v>
      </c>
      <c r="M11" s="293">
        <v>0</v>
      </c>
      <c r="N11" s="294">
        <v>6836364</v>
      </c>
      <c r="O11" s="294">
        <v>683636</v>
      </c>
      <c r="P11" s="294">
        <v>0</v>
      </c>
      <c r="Q11" s="294">
        <v>7520000</v>
      </c>
      <c r="R11" s="293">
        <v>0</v>
      </c>
      <c r="S11" s="294">
        <v>0</v>
      </c>
      <c r="T11" s="290" t="s">
        <v>12</v>
      </c>
      <c r="U11" s="290" t="s">
        <v>1314</v>
      </c>
      <c r="V11" s="290" t="s">
        <v>11</v>
      </c>
      <c r="W11" s="290" t="s">
        <v>9</v>
      </c>
      <c r="X11" s="290" t="s">
        <v>16</v>
      </c>
      <c r="Y11" s="204" t="s">
        <v>1312</v>
      </c>
      <c r="Z11" s="313">
        <f t="shared" si="0"/>
        <v>0</v>
      </c>
      <c r="AA11" s="314"/>
    </row>
    <row r="12" spans="1:29" ht="10.5" hidden="1" customHeight="1">
      <c r="A12" s="289">
        <v>46115</v>
      </c>
      <c r="B12" s="290" t="s">
        <v>8</v>
      </c>
      <c r="C12" s="291" t="s">
        <v>1015</v>
      </c>
      <c r="D12" s="291" t="s">
        <v>1015</v>
      </c>
      <c r="E12" s="290" t="s">
        <v>1331</v>
      </c>
      <c r="F12" s="290" t="s">
        <v>326</v>
      </c>
      <c r="G12" s="290" t="s">
        <v>1332</v>
      </c>
      <c r="H12" s="204" t="str" cm="1">
        <f t="array" ref="H12">IFERROR(TRIM(LEFT(SUBSTITUTE(MID(G12,FIND("SK:",G12)+3,50),"-",REPT(" ",50)),50)),IFERROR(TRIM(LEFT(SUBSTITUTE(MID(J12,FIND("SK:",J12)+3,50),"-",REPT(" ",50)),50)),IFERROR(INDEX($H$6:$H$211,MATCH(1,(($I$6:$I$211=I12)*(ISNUMBER(SEARCH("SK:",$G$6:$G$211)))),0)),"")))</f>
        <v>RLLV2CVA6SH843519</v>
      </c>
      <c r="I12" s="290" t="s">
        <v>1333</v>
      </c>
      <c r="J12" s="290" t="s">
        <v>1332</v>
      </c>
      <c r="K12" s="290" t="s">
        <v>1313</v>
      </c>
      <c r="L12" s="292">
        <v>1</v>
      </c>
      <c r="M12" s="293">
        <v>1117390909</v>
      </c>
      <c r="N12" s="294">
        <v>1117390909</v>
      </c>
      <c r="O12" s="294">
        <v>111739091</v>
      </c>
      <c r="P12" s="294">
        <v>0</v>
      </c>
      <c r="Q12" s="294">
        <v>1229130000</v>
      </c>
      <c r="R12" s="293">
        <v>1280963636</v>
      </c>
      <c r="S12" s="294">
        <v>1280963636</v>
      </c>
      <c r="T12" s="290" t="s">
        <v>12</v>
      </c>
      <c r="U12" s="290" t="s">
        <v>1334</v>
      </c>
      <c r="V12" s="290" t="s">
        <v>11</v>
      </c>
      <c r="W12" s="290" t="s">
        <v>9</v>
      </c>
      <c r="X12" s="290" t="s">
        <v>14</v>
      </c>
      <c r="Y12" s="204" t="s">
        <v>1312</v>
      </c>
      <c r="Z12" s="313">
        <f t="shared" si="0"/>
        <v>1409059999.6000001</v>
      </c>
      <c r="AA12" s="314">
        <f>VLOOKUP(H12,'Dự thu chiết khấu'!$L$4:$AB$204,17,0)-Z12</f>
        <v>0.39999985694885254</v>
      </c>
    </row>
    <row r="13" spans="1:29" ht="10.5" hidden="1" customHeight="1">
      <c r="A13" s="289">
        <v>46115</v>
      </c>
      <c r="B13" s="290" t="s">
        <v>8</v>
      </c>
      <c r="C13" s="291" t="s">
        <v>1018</v>
      </c>
      <c r="D13" s="291" t="s">
        <v>1018</v>
      </c>
      <c r="E13" s="290" t="s">
        <v>1335</v>
      </c>
      <c r="F13" s="290" t="s">
        <v>330</v>
      </c>
      <c r="G13" s="290" t="s">
        <v>1336</v>
      </c>
      <c r="H13" s="204" t="str" cm="1">
        <f t="array" ref="H13">IFERROR(TRIM(LEFT(SUBSTITUTE(MID(G13,FIND("SK:",G13)+3,50),"-",REPT(" ",50)),50)),IFERROR(TRIM(LEFT(SUBSTITUTE(MID(J13,FIND("SK:",J13)+3,50),"-",REPT(" ",50)),50)),IFERROR(INDEX($H$6:$H$211,MATCH(1,(($I$6:$I$211=I13)*(ISNUMBER(SEARCH("SK:",$G$6:$G$211)))),0)),"")))</f>
        <v>RLNVBL9K1ST716572</v>
      </c>
      <c r="I13" s="290" t="s">
        <v>1337</v>
      </c>
      <c r="J13" s="290" t="s">
        <v>1336</v>
      </c>
      <c r="K13" s="290" t="s">
        <v>1313</v>
      </c>
      <c r="L13" s="292">
        <v>1</v>
      </c>
      <c r="M13" s="293">
        <v>248545455</v>
      </c>
      <c r="N13" s="294">
        <v>248545455</v>
      </c>
      <c r="O13" s="294">
        <v>24854545</v>
      </c>
      <c r="P13" s="294">
        <v>0</v>
      </c>
      <c r="Q13" s="294">
        <v>273400000</v>
      </c>
      <c r="R13" s="293">
        <v>270545455</v>
      </c>
      <c r="S13" s="294">
        <v>270545455</v>
      </c>
      <c r="T13" s="290" t="s">
        <v>12</v>
      </c>
      <c r="U13" s="290" t="s">
        <v>1314</v>
      </c>
      <c r="V13" s="290" t="s">
        <v>11</v>
      </c>
      <c r="W13" s="290" t="s">
        <v>9</v>
      </c>
      <c r="X13" s="290" t="s">
        <v>16</v>
      </c>
      <c r="Y13" s="204" t="s">
        <v>1312</v>
      </c>
      <c r="Z13" s="313">
        <f t="shared" si="0"/>
        <v>297600000.5</v>
      </c>
      <c r="AA13" s="314">
        <f>VLOOKUP(H13,'Dự thu chiết khấu'!$L$4:$AB$204,17,0)-Z13</f>
        <v>-0.5</v>
      </c>
    </row>
    <row r="14" spans="1:29" ht="10.5" hidden="1" customHeight="1">
      <c r="A14" s="289">
        <v>46118</v>
      </c>
      <c r="B14" s="290" t="s">
        <v>8</v>
      </c>
      <c r="C14" s="291" t="s">
        <v>1019</v>
      </c>
      <c r="D14" s="291" t="s">
        <v>1019</v>
      </c>
      <c r="E14" s="290" t="s">
        <v>1338</v>
      </c>
      <c r="F14" s="290" t="s">
        <v>1020</v>
      </c>
      <c r="G14" s="290" t="s">
        <v>1339</v>
      </c>
      <c r="H14" s="204" t="str" cm="1">
        <f t="array" ref="H14">IFERROR(TRIM(LEFT(SUBSTITUTE(MID(G14,FIND("SK:",G14)+3,50),"-",REPT(" ",50)),50)),IFERROR(TRIM(LEFT(SUBSTITUTE(MID(J14,FIND("SK:",J14)+3,50),"-",REPT(" ",50)),50)),IFERROR(INDEX($H$6:$H$211,MATCH(1,(($I$6:$I$211=I14)*(ISNUMBER(SEARCH("SK:",$G$6:$G$211)))),0)),"")))</f>
        <v>RLLVAG8C9TH736604</v>
      </c>
      <c r="I14" s="290" t="s">
        <v>1340</v>
      </c>
      <c r="J14" s="290" t="s">
        <v>1339</v>
      </c>
      <c r="K14" s="290" t="s">
        <v>1313</v>
      </c>
      <c r="L14" s="292">
        <v>1</v>
      </c>
      <c r="M14" s="293">
        <v>668181818</v>
      </c>
      <c r="N14" s="294">
        <v>668181818</v>
      </c>
      <c r="O14" s="294">
        <v>66818182</v>
      </c>
      <c r="P14" s="294">
        <v>0</v>
      </c>
      <c r="Q14" s="294">
        <v>735000000</v>
      </c>
      <c r="R14" s="293">
        <v>650181818</v>
      </c>
      <c r="S14" s="294">
        <v>650181818</v>
      </c>
      <c r="T14" s="290" t="s">
        <v>12</v>
      </c>
      <c r="U14" s="290" t="s">
        <v>1314</v>
      </c>
      <c r="V14" s="290" t="s">
        <v>11</v>
      </c>
      <c r="W14" s="290" t="s">
        <v>9</v>
      </c>
      <c r="X14" s="290" t="s">
        <v>15</v>
      </c>
      <c r="Y14" s="204" t="s">
        <v>1312</v>
      </c>
      <c r="Z14" s="313">
        <f t="shared" si="0"/>
        <v>715199999.80000007</v>
      </c>
      <c r="AA14" s="314">
        <f>VLOOKUP(H14,'Dự thu chiết khấu'!$L$4:$AB$204,17,0)-Z14</f>
        <v>0.19999992847442627</v>
      </c>
    </row>
    <row r="15" spans="1:29" ht="10.5" hidden="1" customHeight="1">
      <c r="A15" s="289">
        <v>46118</v>
      </c>
      <c r="B15" s="290" t="s">
        <v>8</v>
      </c>
      <c r="C15" s="291" t="s">
        <v>1022</v>
      </c>
      <c r="D15" s="291" t="s">
        <v>1022</v>
      </c>
      <c r="E15" s="290" t="s">
        <v>1341</v>
      </c>
      <c r="F15" s="290" t="s">
        <v>1023</v>
      </c>
      <c r="G15" s="290" t="s">
        <v>1342</v>
      </c>
      <c r="H15" s="204" t="str" cm="1">
        <f t="array" ref="H15">IFERROR(TRIM(LEFT(SUBSTITUTE(MID(G15,FIND("SK:",G15)+3,50),"-",REPT(" ",50)),50)),IFERROR(TRIM(LEFT(SUBSTITUTE(MID(J15,FIND("SK:",J15)+3,50),"-",REPT(" ",50)),50)),IFERROR(INDEX($H$6:$H$211,MATCH(1,(($I$6:$I$211=I15)*(ISNUMBER(SEARCH("SK:",$G$6:$G$211)))),0)),"")))</f>
        <v>RLLVFPNT3TH707749</v>
      </c>
      <c r="I15" s="290" t="s">
        <v>1343</v>
      </c>
      <c r="J15" s="290" t="s">
        <v>1342</v>
      </c>
      <c r="K15" s="290" t="s">
        <v>1313</v>
      </c>
      <c r="L15" s="292">
        <v>1</v>
      </c>
      <c r="M15" s="293">
        <v>617809091</v>
      </c>
      <c r="N15" s="294">
        <v>617809091</v>
      </c>
      <c r="O15" s="294">
        <v>61780909</v>
      </c>
      <c r="P15" s="294">
        <v>0</v>
      </c>
      <c r="Q15" s="294">
        <v>679590000</v>
      </c>
      <c r="R15" s="293">
        <v>653672727</v>
      </c>
      <c r="S15" s="294">
        <v>653672727</v>
      </c>
      <c r="T15" s="290" t="s">
        <v>12</v>
      </c>
      <c r="U15" s="290" t="s">
        <v>1314</v>
      </c>
      <c r="V15" s="290" t="s">
        <v>11</v>
      </c>
      <c r="W15" s="290" t="s">
        <v>9</v>
      </c>
      <c r="X15" s="290" t="s">
        <v>15</v>
      </c>
      <c r="Y15" s="204" t="s">
        <v>1312</v>
      </c>
      <c r="Z15" s="313">
        <f t="shared" si="0"/>
        <v>719039999.70000005</v>
      </c>
      <c r="AA15" s="314">
        <f>VLOOKUP(H15,'Dự thu chiết khấu'!$L$4:$AB$204,17,0)-Z15</f>
        <v>0.29999995231628418</v>
      </c>
    </row>
    <row r="16" spans="1:29" ht="10.5" hidden="1" customHeight="1">
      <c r="A16" s="289">
        <v>46118</v>
      </c>
      <c r="B16" s="290" t="s">
        <v>8</v>
      </c>
      <c r="C16" s="291" t="s">
        <v>1024</v>
      </c>
      <c r="D16" s="291" t="s">
        <v>1024</v>
      </c>
      <c r="E16" s="290" t="s">
        <v>1344</v>
      </c>
      <c r="F16" s="290" t="s">
        <v>333</v>
      </c>
      <c r="G16" s="290" t="s">
        <v>1345</v>
      </c>
      <c r="H16" s="204" t="str" cm="1">
        <f t="array" ref="H16">IFERROR(TRIM(LEFT(SUBSTITUTE(MID(G16,FIND("SK:",G16)+3,50),"-",REPT(" ",50)),50)),IFERROR(TRIM(LEFT(SUBSTITUTE(MID(J16,FIND("SK:",J16)+3,50),"-",REPT(" ",50)),50)),IFERROR(INDEX($H$6:$H$211,MATCH(1,(($I$6:$I$211=I16)*(ISNUMBER(SEARCH("SK:",$G$6:$G$211)))),0)),"")))</f>
        <v>RLNV5JSE4TH713606</v>
      </c>
      <c r="I16" s="290" t="s">
        <v>1346</v>
      </c>
      <c r="J16" s="290" t="s">
        <v>1345</v>
      </c>
      <c r="K16" s="290" t="s">
        <v>1313</v>
      </c>
      <c r="L16" s="292">
        <v>1</v>
      </c>
      <c r="M16" s="293">
        <v>488181818</v>
      </c>
      <c r="N16" s="294">
        <v>488181818</v>
      </c>
      <c r="O16" s="294">
        <v>48818182</v>
      </c>
      <c r="P16" s="294">
        <v>0</v>
      </c>
      <c r="Q16" s="294">
        <v>537000000</v>
      </c>
      <c r="R16" s="293">
        <v>468654545</v>
      </c>
      <c r="S16" s="294">
        <v>468654545</v>
      </c>
      <c r="T16" s="290" t="s">
        <v>12</v>
      </c>
      <c r="U16" s="290" t="s">
        <v>1334</v>
      </c>
      <c r="V16" s="290" t="s">
        <v>11</v>
      </c>
      <c r="W16" s="290" t="s">
        <v>9</v>
      </c>
      <c r="X16" s="290" t="s">
        <v>13</v>
      </c>
      <c r="Y16" s="204" t="s">
        <v>1312</v>
      </c>
      <c r="Z16" s="313">
        <f t="shared" si="0"/>
        <v>515519999.50000006</v>
      </c>
      <c r="AA16" s="314">
        <f>VLOOKUP(H16,'Dự thu chiết khấu'!$L$4:$AB$204,17,0)-Z16</f>
        <v>0.49999994039535522</v>
      </c>
    </row>
    <row r="17" spans="1:27" ht="10.5" hidden="1" customHeight="1">
      <c r="A17" s="289">
        <v>46118</v>
      </c>
      <c r="B17" s="290" t="s">
        <v>8</v>
      </c>
      <c r="C17" s="291" t="s">
        <v>1025</v>
      </c>
      <c r="D17" s="291" t="s">
        <v>1025</v>
      </c>
      <c r="E17" s="290" t="s">
        <v>1347</v>
      </c>
      <c r="F17" s="290" t="s">
        <v>341</v>
      </c>
      <c r="G17" s="290" t="s">
        <v>1348</v>
      </c>
      <c r="H17" s="204" t="str" cm="1">
        <f t="array" ref="H17">IFERROR(TRIM(LEFT(SUBSTITUTE(MID(G17,FIND("SK:",G17)+3,50),"-",REPT(" ",50)),50)),IFERROR(TRIM(LEFT(SUBSTITUTE(MID(J17,FIND("SK:",J17)+3,50),"-",REPT(" ",50)),50)),IFERROR(INDEX($H$6:$H$211,MATCH(1,(($I$6:$I$211=I17)*(ISNUMBER(SEARCH("SK:",$G$6:$G$211)))),0)),"")))</f>
        <v>RLLVAG8CXTH719133</v>
      </c>
      <c r="I17" s="290" t="s">
        <v>1349</v>
      </c>
      <c r="J17" s="290" t="s">
        <v>1348</v>
      </c>
      <c r="K17" s="290" t="s">
        <v>1313</v>
      </c>
      <c r="L17" s="292">
        <v>1</v>
      </c>
      <c r="M17" s="293">
        <v>622179091</v>
      </c>
      <c r="N17" s="294">
        <v>622179091</v>
      </c>
      <c r="O17" s="294">
        <v>62217909</v>
      </c>
      <c r="P17" s="294">
        <v>0</v>
      </c>
      <c r="Q17" s="294">
        <v>684397000</v>
      </c>
      <c r="R17" s="293">
        <v>650181818</v>
      </c>
      <c r="S17" s="294">
        <v>650181818</v>
      </c>
      <c r="T17" s="290" t="s">
        <v>12</v>
      </c>
      <c r="U17" s="290" t="s">
        <v>1318</v>
      </c>
      <c r="V17" s="290" t="s">
        <v>11</v>
      </c>
      <c r="W17" s="290" t="s">
        <v>9</v>
      </c>
      <c r="X17" s="290" t="s">
        <v>14</v>
      </c>
      <c r="Y17" s="204" t="s">
        <v>1312</v>
      </c>
      <c r="Z17" s="313">
        <f t="shared" si="0"/>
        <v>715199999.80000007</v>
      </c>
      <c r="AA17" s="314">
        <f>VLOOKUP(H17,'Dự thu chiết khấu'!$L$4:$AB$204,17,0)-Z17</f>
        <v>0.19999992847442627</v>
      </c>
    </row>
    <row r="18" spans="1:27" ht="10.5" hidden="1" customHeight="1">
      <c r="A18" s="289">
        <v>46118</v>
      </c>
      <c r="B18" s="290" t="s">
        <v>8</v>
      </c>
      <c r="C18" s="291" t="s">
        <v>1026</v>
      </c>
      <c r="D18" s="291" t="s">
        <v>1026</v>
      </c>
      <c r="E18" s="290" t="s">
        <v>1350</v>
      </c>
      <c r="F18" s="290" t="s">
        <v>1027</v>
      </c>
      <c r="G18" s="290" t="s">
        <v>1351</v>
      </c>
      <c r="H18" s="204" t="str" cm="1">
        <f t="array" ref="H18">IFERROR(TRIM(LEFT(SUBSTITUTE(MID(G18,FIND("SK:",G18)+3,50),"-",REPT(" ",50)),50)),IFERROR(TRIM(LEFT(SUBSTITUTE(MID(J18,FIND("SK:",J18)+3,50),"-",REPT(" ",50)),50)),IFERROR(INDEX($H$6:$H$211,MATCH(1,(($I$6:$I$211=I18)*(ISNUMBER(SEARCH("SK:",$G$6:$G$211)))),0)),"")))</f>
        <v>RLNVBL9K1ST717561</v>
      </c>
      <c r="I18" s="290" t="s">
        <v>1352</v>
      </c>
      <c r="J18" s="290" t="s">
        <v>1351</v>
      </c>
      <c r="K18" s="290" t="s">
        <v>1313</v>
      </c>
      <c r="L18" s="292">
        <v>1</v>
      </c>
      <c r="M18" s="293">
        <v>244909091</v>
      </c>
      <c r="N18" s="294">
        <v>244909091</v>
      </c>
      <c r="O18" s="294">
        <v>24490909</v>
      </c>
      <c r="P18" s="294">
        <v>0</v>
      </c>
      <c r="Q18" s="294">
        <v>269400000</v>
      </c>
      <c r="R18" s="293">
        <v>270545455</v>
      </c>
      <c r="S18" s="294">
        <v>270545455</v>
      </c>
      <c r="T18" s="290" t="s">
        <v>12</v>
      </c>
      <c r="U18" s="290" t="s">
        <v>1314</v>
      </c>
      <c r="V18" s="290" t="s">
        <v>11</v>
      </c>
      <c r="W18" s="290" t="s">
        <v>9</v>
      </c>
      <c r="X18" s="290" t="s">
        <v>15</v>
      </c>
      <c r="Y18" s="204" t="s">
        <v>1312</v>
      </c>
      <c r="Z18" s="313">
        <f t="shared" si="0"/>
        <v>297600000.5</v>
      </c>
      <c r="AA18" s="314">
        <f>VLOOKUP(H18,'Dự thu chiết khấu'!$L$4:$AB$204,17,0)-Z18</f>
        <v>-0.5</v>
      </c>
    </row>
    <row r="19" spans="1:27" ht="10.5" hidden="1" customHeight="1">
      <c r="A19" s="289">
        <v>46118</v>
      </c>
      <c r="B19" s="290" t="s">
        <v>8</v>
      </c>
      <c r="C19" s="291" t="s">
        <v>1028</v>
      </c>
      <c r="D19" s="291" t="s">
        <v>1028</v>
      </c>
      <c r="E19" s="290" t="s">
        <v>1353</v>
      </c>
      <c r="F19" s="290" t="s">
        <v>1029</v>
      </c>
      <c r="G19" s="290" t="s">
        <v>1354</v>
      </c>
      <c r="H19" s="204" t="str" cm="1">
        <f t="array" ref="H19">IFERROR(TRIM(LEFT(SUBSTITUTE(MID(G19,FIND("SK:",G19)+3,50),"-",REPT(" ",50)),50)),IFERROR(TRIM(LEFT(SUBSTITUTE(MID(J19,FIND("SK:",J19)+3,50),"-",REPT(" ",50)),50)),IFERROR(INDEX($H$6:$H$211,MATCH(1,(($I$6:$I$211=I19)*(ISNUMBER(SEARCH("SK:",$G$6:$G$211)))),0)),"")))</f>
        <v>RLNVBL9K9TT711878</v>
      </c>
      <c r="I19" s="290" t="s">
        <v>1355</v>
      </c>
      <c r="J19" s="290" t="s">
        <v>1354</v>
      </c>
      <c r="K19" s="290" t="s">
        <v>1313</v>
      </c>
      <c r="L19" s="292">
        <v>1</v>
      </c>
      <c r="M19" s="293">
        <v>259681818</v>
      </c>
      <c r="N19" s="294">
        <v>259681818</v>
      </c>
      <c r="O19" s="294">
        <v>25968182</v>
      </c>
      <c r="P19" s="294">
        <v>0</v>
      </c>
      <c r="Q19" s="294">
        <v>285650000</v>
      </c>
      <c r="R19" s="293">
        <v>274909091</v>
      </c>
      <c r="S19" s="294">
        <v>274909091</v>
      </c>
      <c r="T19" s="290" t="s">
        <v>12</v>
      </c>
      <c r="U19" s="290" t="s">
        <v>1314</v>
      </c>
      <c r="V19" s="290" t="s">
        <v>11</v>
      </c>
      <c r="W19" s="290" t="s">
        <v>9</v>
      </c>
      <c r="X19" s="290" t="s">
        <v>15</v>
      </c>
      <c r="Y19" s="204" t="s">
        <v>1312</v>
      </c>
      <c r="Z19" s="313">
        <f t="shared" si="0"/>
        <v>302400000.10000002</v>
      </c>
      <c r="AA19" s="314">
        <f>VLOOKUP(H19,'Dự thu chiết khấu'!$L$4:$AB$204,17,0)-Z19</f>
        <v>-0.10000002384185791</v>
      </c>
    </row>
    <row r="20" spans="1:27" ht="10.5" hidden="1" customHeight="1">
      <c r="A20" s="289">
        <v>46119</v>
      </c>
      <c r="B20" s="290" t="s">
        <v>8</v>
      </c>
      <c r="C20" s="291" t="s">
        <v>1030</v>
      </c>
      <c r="D20" s="291" t="s">
        <v>1030</v>
      </c>
      <c r="E20" s="290" t="s">
        <v>1356</v>
      </c>
      <c r="F20" s="290" t="s">
        <v>337</v>
      </c>
      <c r="G20" s="290" t="s">
        <v>1357</v>
      </c>
      <c r="H20" s="204" t="str" cm="1">
        <f t="array" ref="H20">IFERROR(TRIM(LEFT(SUBSTITUTE(MID(G20,FIND("SK:",G20)+3,50),"-",REPT(" ",50)),50)),IFERROR(TRIM(LEFT(SUBSTITUTE(MID(J20,FIND("SK:",J20)+3,50),"-",REPT(" ",50)),50)),IFERROR(INDEX($H$6:$H$211,MATCH(1,(($I$6:$I$211=I20)*(ISNUMBER(SEARCH("SK:",$G$6:$G$211)))),0)),"")))</f>
        <v>RLLVAG8C4TH732735</v>
      </c>
      <c r="I20" s="290" t="s">
        <v>1358</v>
      </c>
      <c r="J20" s="290" t="s">
        <v>1357</v>
      </c>
      <c r="K20" s="290" t="s">
        <v>1313</v>
      </c>
      <c r="L20" s="292">
        <v>1</v>
      </c>
      <c r="M20" s="293">
        <v>636636364</v>
      </c>
      <c r="N20" s="294">
        <v>636636364</v>
      </c>
      <c r="O20" s="294">
        <v>63663636</v>
      </c>
      <c r="P20" s="294">
        <v>0</v>
      </c>
      <c r="Q20" s="294">
        <v>700300000</v>
      </c>
      <c r="R20" s="293">
        <v>650181818</v>
      </c>
      <c r="S20" s="294">
        <v>650181818</v>
      </c>
      <c r="T20" s="290" t="s">
        <v>12</v>
      </c>
      <c r="U20" s="290" t="s">
        <v>1334</v>
      </c>
      <c r="V20" s="290" t="s">
        <v>11</v>
      </c>
      <c r="W20" s="290" t="s">
        <v>9</v>
      </c>
      <c r="X20" s="290" t="s">
        <v>13</v>
      </c>
      <c r="Y20" s="204" t="s">
        <v>1312</v>
      </c>
      <c r="Z20" s="313">
        <f t="shared" si="0"/>
        <v>715199999.80000007</v>
      </c>
      <c r="AA20" s="314">
        <f>VLOOKUP(H20,'Dự thu chiết khấu'!$L$4:$AB$204,17,0)-Z20</f>
        <v>0.19999992847442627</v>
      </c>
    </row>
    <row r="21" spans="1:27" ht="10.5" hidden="1" customHeight="1">
      <c r="A21" s="289">
        <v>46119</v>
      </c>
      <c r="B21" s="290" t="s">
        <v>8</v>
      </c>
      <c r="C21" s="291" t="s">
        <v>1031</v>
      </c>
      <c r="D21" s="291" t="s">
        <v>1031</v>
      </c>
      <c r="E21" s="290" t="s">
        <v>29</v>
      </c>
      <c r="F21" s="290" t="s">
        <v>30</v>
      </c>
      <c r="G21" s="290" t="s">
        <v>1359</v>
      </c>
      <c r="H21" s="204" t="str" cm="1">
        <f t="array" ref="H21">IFERROR(TRIM(LEFT(SUBSTITUTE(MID(G21,FIND("SK:",G21)+3,50),"-",REPT(" ",50)),50)),IFERROR(TRIM(LEFT(SUBSTITUTE(MID(J21,FIND("SK:",J21)+3,50),"-",REPT(" ",50)),50)),IFERROR(INDEX($H$6:$H$211,MATCH(1,(($I$6:$I$211=I21)*(ISNUMBER(SEARCH("SK:",$G$6:$G$211)))),0)),"")))</f>
        <v>RLLVFPNTXTH702483</v>
      </c>
      <c r="I21" s="290" t="s">
        <v>1360</v>
      </c>
      <c r="J21" s="290" t="s">
        <v>1359</v>
      </c>
      <c r="K21" s="290" t="s">
        <v>1313</v>
      </c>
      <c r="L21" s="292">
        <v>1</v>
      </c>
      <c r="M21" s="293">
        <v>630963636</v>
      </c>
      <c r="N21" s="294">
        <v>630963636</v>
      </c>
      <c r="O21" s="294">
        <v>63096364</v>
      </c>
      <c r="P21" s="294">
        <v>0</v>
      </c>
      <c r="Q21" s="294">
        <v>694060000</v>
      </c>
      <c r="R21" s="293">
        <v>653672727</v>
      </c>
      <c r="S21" s="294">
        <v>653672727</v>
      </c>
      <c r="T21" s="290" t="s">
        <v>12</v>
      </c>
      <c r="U21" s="290" t="s">
        <v>1314</v>
      </c>
      <c r="V21" s="290" t="s">
        <v>11</v>
      </c>
      <c r="W21" s="290" t="s">
        <v>9</v>
      </c>
      <c r="X21" s="290" t="s">
        <v>14</v>
      </c>
      <c r="Y21" s="204" t="s">
        <v>1312</v>
      </c>
      <c r="Z21" s="313">
        <f t="shared" si="0"/>
        <v>719039999.70000005</v>
      </c>
      <c r="AA21" s="314">
        <f>VLOOKUP(H21,'Dự thu chiết khấu'!$L$4:$AB$204,17,0)-Z21</f>
        <v>0.29999995231628418</v>
      </c>
    </row>
    <row r="22" spans="1:27" ht="10.5" hidden="1" customHeight="1">
      <c r="A22" s="289">
        <v>46119</v>
      </c>
      <c r="B22" s="290" t="s">
        <v>8</v>
      </c>
      <c r="C22" s="291" t="s">
        <v>1032</v>
      </c>
      <c r="D22" s="291" t="s">
        <v>1032</v>
      </c>
      <c r="E22" s="290" t="s">
        <v>1361</v>
      </c>
      <c r="F22" s="290" t="s">
        <v>1033</v>
      </c>
      <c r="G22" s="290" t="s">
        <v>1362</v>
      </c>
      <c r="H22" s="204" t="str" cm="1">
        <f t="array" ref="H22">IFERROR(TRIM(LEFT(SUBSTITUTE(MID(G22,FIND("SK:",G22)+3,50),"-",REPT(" ",50)),50)),IFERROR(TRIM(LEFT(SUBSTITUTE(MID(J22,FIND("SK:",J22)+3,50),"-",REPT(" ",50)),50)),IFERROR(INDEX($H$6:$H$211,MATCH(1,(($I$6:$I$211=I22)*(ISNUMBER(SEARCH("SK:",$G$6:$G$211)))),0)),"")))</f>
        <v>RLLV3F5D6TH714321</v>
      </c>
      <c r="I22" s="290" t="s">
        <v>1363</v>
      </c>
      <c r="J22" s="290" t="s">
        <v>1362</v>
      </c>
      <c r="K22" s="290" t="s">
        <v>1313</v>
      </c>
      <c r="L22" s="292">
        <v>1</v>
      </c>
      <c r="M22" s="293">
        <v>679400000</v>
      </c>
      <c r="N22" s="294">
        <v>679400000</v>
      </c>
      <c r="O22" s="294">
        <v>67940000</v>
      </c>
      <c r="P22" s="294">
        <v>0</v>
      </c>
      <c r="Q22" s="294">
        <v>747340000</v>
      </c>
      <c r="R22" s="293">
        <v>704095455</v>
      </c>
      <c r="S22" s="294">
        <v>704095455</v>
      </c>
      <c r="T22" s="290" t="s">
        <v>12</v>
      </c>
      <c r="U22" s="290" t="s">
        <v>1314</v>
      </c>
      <c r="V22" s="290" t="s">
        <v>11</v>
      </c>
      <c r="W22" s="290" t="s">
        <v>9</v>
      </c>
      <c r="X22" s="290" t="s">
        <v>15</v>
      </c>
      <c r="Y22" s="204" t="s">
        <v>1312</v>
      </c>
      <c r="Z22" s="313">
        <f t="shared" si="0"/>
        <v>774505000.50000012</v>
      </c>
      <c r="AA22" s="314">
        <f>VLOOKUP(H22,'Dự thu chiết khấu'!$L$4:$AB$204,17,0)-Z22</f>
        <v>-0.50000011920928955</v>
      </c>
    </row>
    <row r="23" spans="1:27" ht="10.5" hidden="1" customHeight="1">
      <c r="A23" s="289">
        <v>46119</v>
      </c>
      <c r="B23" s="290" t="s">
        <v>8</v>
      </c>
      <c r="C23" s="291" t="s">
        <v>1159</v>
      </c>
      <c r="D23" s="291" t="s">
        <v>1159</v>
      </c>
      <c r="E23" s="290" t="s">
        <v>1364</v>
      </c>
      <c r="F23" s="290" t="s">
        <v>373</v>
      </c>
      <c r="G23" s="290" t="s">
        <v>1365</v>
      </c>
      <c r="H23" s="204" t="str" cm="1">
        <f t="array" ref="H23">IFERROR(TRIM(LEFT(SUBSTITUTE(MID(G23,FIND("SK:",G23)+3,50),"-",REPT(" ",50)),50)),IFERROR(TRIM(LEFT(SUBSTITUTE(MID(J23,FIND("SK:",J23)+3,50),"-",REPT(" ",50)),50)),IFERROR(INDEX($H$6:$H$211,MATCH(1,(($I$6:$I$211=I23)*(ISNUMBER(SEARCH("SK:",$G$6:$G$211)))),0)),"")))</f>
        <v>RLLVFPTT0TH733714</v>
      </c>
      <c r="I23" s="290" t="s">
        <v>1366</v>
      </c>
      <c r="J23" s="290" t="s">
        <v>1365</v>
      </c>
      <c r="K23" s="290" t="s">
        <v>1313</v>
      </c>
      <c r="L23" s="292">
        <v>1</v>
      </c>
      <c r="M23" s="293">
        <v>699872727</v>
      </c>
      <c r="N23" s="294">
        <v>699872727</v>
      </c>
      <c r="O23" s="294">
        <v>69987273</v>
      </c>
      <c r="P23" s="294">
        <v>0</v>
      </c>
      <c r="Q23" s="294">
        <v>769860000</v>
      </c>
      <c r="R23" s="293">
        <v>714763636</v>
      </c>
      <c r="S23" s="294">
        <v>714763636</v>
      </c>
      <c r="T23" s="290" t="s">
        <v>12</v>
      </c>
      <c r="U23" s="290" t="s">
        <v>1334</v>
      </c>
      <c r="V23" s="290" t="s">
        <v>11</v>
      </c>
      <c r="W23" s="290" t="s">
        <v>9</v>
      </c>
      <c r="X23" s="290" t="s">
        <v>10</v>
      </c>
      <c r="Y23" s="204" t="s">
        <v>1312</v>
      </c>
      <c r="Z23" s="313">
        <f t="shared" si="0"/>
        <v>786239999.60000002</v>
      </c>
      <c r="AA23" s="314">
        <f>VLOOKUP(H23,'Dự thu chiết khấu'!$L$4:$AB$204,17,0)-Z23</f>
        <v>0.39999997615814209</v>
      </c>
    </row>
    <row r="24" spans="1:27" ht="10.5" hidden="1" customHeight="1">
      <c r="A24" s="289">
        <v>46119</v>
      </c>
      <c r="B24" s="290" t="s">
        <v>8</v>
      </c>
      <c r="C24" s="291" t="s">
        <v>1035</v>
      </c>
      <c r="D24" s="291" t="s">
        <v>1035</v>
      </c>
      <c r="E24" s="290" t="s">
        <v>1367</v>
      </c>
      <c r="F24" s="290" t="s">
        <v>377</v>
      </c>
      <c r="G24" s="290" t="s">
        <v>1368</v>
      </c>
      <c r="H24" s="204" t="str" cm="1">
        <f t="array" ref="H24">IFERROR(TRIM(LEFT(SUBSTITUTE(MID(G24,FIND("SK:",G24)+3,50),"-",REPT(" ",50)),50)),IFERROR(TRIM(LEFT(SUBSTITUTE(MID(J24,FIND("SK:",J24)+3,50),"-",REPT(" ",50)),50)),IFERROR(INDEX($H$6:$H$211,MATCH(1,(($I$6:$I$211=I24)*(ISNUMBER(SEARCH("SK:",$G$6:$G$211)))),0)),"")))</f>
        <v>RLNVBL9K4TT707902</v>
      </c>
      <c r="I24" s="290" t="s">
        <v>1369</v>
      </c>
      <c r="J24" s="290" t="s">
        <v>1368</v>
      </c>
      <c r="K24" s="290" t="s">
        <v>1313</v>
      </c>
      <c r="L24" s="292">
        <v>1</v>
      </c>
      <c r="M24" s="293">
        <v>258072727</v>
      </c>
      <c r="N24" s="294">
        <v>258072727</v>
      </c>
      <c r="O24" s="294">
        <v>25807273</v>
      </c>
      <c r="P24" s="294">
        <v>0</v>
      </c>
      <c r="Q24" s="294">
        <v>283880000</v>
      </c>
      <c r="R24" s="293">
        <v>263563636</v>
      </c>
      <c r="S24" s="294">
        <v>263563636</v>
      </c>
      <c r="T24" s="290" t="s">
        <v>12</v>
      </c>
      <c r="U24" s="290" t="s">
        <v>1318</v>
      </c>
      <c r="V24" s="290" t="s">
        <v>11</v>
      </c>
      <c r="W24" s="290" t="s">
        <v>9</v>
      </c>
      <c r="X24" s="290" t="s">
        <v>10</v>
      </c>
      <c r="Y24" s="204" t="s">
        <v>1312</v>
      </c>
      <c r="Z24" s="313">
        <f t="shared" si="0"/>
        <v>289919999.60000002</v>
      </c>
      <c r="AA24" s="314">
        <f>VLOOKUP(H24,'Dự thu chiết khấu'!$L$4:$AB$204,17,0)-Z24</f>
        <v>0.39999997615814209</v>
      </c>
    </row>
    <row r="25" spans="1:27" ht="10.5" hidden="1" customHeight="1">
      <c r="A25" s="289">
        <v>46119</v>
      </c>
      <c r="B25" s="290" t="s">
        <v>8</v>
      </c>
      <c r="C25" s="291" t="s">
        <v>1036</v>
      </c>
      <c r="D25" s="291" t="s">
        <v>1036</v>
      </c>
      <c r="E25" s="290" t="s">
        <v>1370</v>
      </c>
      <c r="F25" s="290" t="s">
        <v>346</v>
      </c>
      <c r="G25" s="290" t="s">
        <v>1371</v>
      </c>
      <c r="H25" s="204" t="str" cm="1">
        <f t="array" ref="H25">IFERROR(TRIM(LEFT(SUBSTITUTE(MID(G25,FIND("SK:",G25)+3,50),"-",REPT(" ",50)),50)),IFERROR(TRIM(LEFT(SUBSTITUTE(MID(J25,FIND("SK:",J25)+3,50),"-",REPT(" ",50)),50)),IFERROR(INDEX($H$6:$H$211,MATCH(1,(($I$6:$I$211=I25)*(ISNUMBER(SEARCH("SK:",$G$6:$G$211)))),0)),"")))</f>
        <v>RLNV5JSE2TH732400</v>
      </c>
      <c r="I25" s="290" t="s">
        <v>1372</v>
      </c>
      <c r="J25" s="290" t="s">
        <v>1371</v>
      </c>
      <c r="K25" s="290" t="s">
        <v>1313</v>
      </c>
      <c r="L25" s="292">
        <v>1</v>
      </c>
      <c r="M25" s="293">
        <v>431263636</v>
      </c>
      <c r="N25" s="294">
        <v>431263636</v>
      </c>
      <c r="O25" s="294">
        <v>43126364</v>
      </c>
      <c r="P25" s="294">
        <v>0</v>
      </c>
      <c r="Q25" s="294">
        <v>474390000</v>
      </c>
      <c r="R25" s="293">
        <v>461672727</v>
      </c>
      <c r="S25" s="294">
        <v>461672727</v>
      </c>
      <c r="T25" s="290" t="s">
        <v>12</v>
      </c>
      <c r="U25" s="290" t="s">
        <v>1314</v>
      </c>
      <c r="V25" s="290" t="s">
        <v>11</v>
      </c>
      <c r="W25" s="290" t="s">
        <v>9</v>
      </c>
      <c r="X25" s="290" t="s">
        <v>14</v>
      </c>
      <c r="Y25" s="204" t="s">
        <v>1312</v>
      </c>
      <c r="Z25" s="313">
        <f t="shared" si="0"/>
        <v>507839999.70000005</v>
      </c>
      <c r="AA25" s="314">
        <f>VLOOKUP(H25,'Dự thu chiết khấu'!$L$4:$AB$204,17,0)-Z25</f>
        <v>0.29999995231628418</v>
      </c>
    </row>
    <row r="26" spans="1:27" ht="10.5" hidden="1" customHeight="1">
      <c r="A26" s="289">
        <v>46120</v>
      </c>
      <c r="B26" s="290" t="s">
        <v>8</v>
      </c>
      <c r="C26" s="291" t="s">
        <v>1038</v>
      </c>
      <c r="D26" s="291" t="s">
        <v>1038</v>
      </c>
      <c r="E26" s="290" t="s">
        <v>1373</v>
      </c>
      <c r="F26" s="290" t="s">
        <v>380</v>
      </c>
      <c r="G26" s="290" t="s">
        <v>1374</v>
      </c>
      <c r="H26" s="204" t="str" cm="1">
        <f t="array" ref="H26">IFERROR(TRIM(LEFT(SUBSTITUTE(MID(G26,FIND("SK:",G26)+3,50),"-",REPT(" ",50)),50)),IFERROR(TRIM(LEFT(SUBSTITUTE(MID(J26,FIND("SK:",J26)+3,50),"-",REPT(" ",50)),50)),IFERROR(INDEX($H$6:$H$211,MATCH(1,(($I$6:$I$211=I26)*(ISNUMBER(SEARCH("SK:",$G$6:$G$211)))),0)),"")))</f>
        <v>RLLVFPNT5TH707865</v>
      </c>
      <c r="I26" s="290" t="s">
        <v>1375</v>
      </c>
      <c r="J26" s="290" t="s">
        <v>1374</v>
      </c>
      <c r="K26" s="290" t="s">
        <v>1313</v>
      </c>
      <c r="L26" s="292">
        <v>1</v>
      </c>
      <c r="M26" s="293">
        <v>629145455</v>
      </c>
      <c r="N26" s="294">
        <v>629145455</v>
      </c>
      <c r="O26" s="294">
        <v>62914545</v>
      </c>
      <c r="P26" s="294">
        <v>0</v>
      </c>
      <c r="Q26" s="294">
        <v>692060000</v>
      </c>
      <c r="R26" s="293">
        <v>653672727</v>
      </c>
      <c r="S26" s="294">
        <v>653672727</v>
      </c>
      <c r="T26" s="290" t="s">
        <v>12</v>
      </c>
      <c r="U26" s="290" t="s">
        <v>1318</v>
      </c>
      <c r="V26" s="290" t="s">
        <v>11</v>
      </c>
      <c r="W26" s="290" t="s">
        <v>9</v>
      </c>
      <c r="X26" s="290" t="s">
        <v>10</v>
      </c>
      <c r="Y26" s="204" t="s">
        <v>1312</v>
      </c>
      <c r="Z26" s="313">
        <f t="shared" si="0"/>
        <v>719039999.70000005</v>
      </c>
      <c r="AA26" s="314">
        <f>VLOOKUP(H26,'Dự thu chiết khấu'!$L$4:$AB$204,17,0)-Z26</f>
        <v>0.29999995231628418</v>
      </c>
    </row>
    <row r="27" spans="1:27" ht="10.5" hidden="1" customHeight="1">
      <c r="A27" s="289">
        <v>46120</v>
      </c>
      <c r="B27" s="290" t="s">
        <v>8</v>
      </c>
      <c r="C27" s="291" t="s">
        <v>1160</v>
      </c>
      <c r="D27" s="291" t="s">
        <v>1160</v>
      </c>
      <c r="E27" s="290" t="s">
        <v>1376</v>
      </c>
      <c r="F27" s="290" t="s">
        <v>349</v>
      </c>
      <c r="G27" s="290" t="s">
        <v>1377</v>
      </c>
      <c r="H27" s="204" t="str" cm="1">
        <f t="array" ref="H27">IFERROR(TRIM(LEFT(SUBSTITUTE(MID(G27,FIND("SK:",G27)+3,50),"-",REPT(" ",50)),50)),IFERROR(TRIM(LEFT(SUBSTITUTE(MID(J27,FIND("SK:",J27)+3,50),"-",REPT(" ",50)),50)),IFERROR(INDEX($H$6:$H$211,MATCH(1,(($I$6:$I$211=I27)*(ISNUMBER(SEARCH("SK:",$G$6:$G$211)))),0)),"")))</f>
        <v>RLNVBL9K9ST709725</v>
      </c>
      <c r="I27" s="290" t="s">
        <v>1378</v>
      </c>
      <c r="J27" s="290" t="s">
        <v>1377</v>
      </c>
      <c r="K27" s="290" t="s">
        <v>1313</v>
      </c>
      <c r="L27" s="292">
        <v>1</v>
      </c>
      <c r="M27" s="293">
        <v>231326364</v>
      </c>
      <c r="N27" s="294">
        <v>231326364</v>
      </c>
      <c r="O27" s="294">
        <v>23132636</v>
      </c>
      <c r="P27" s="294">
        <v>0</v>
      </c>
      <c r="Q27" s="294">
        <v>254459000</v>
      </c>
      <c r="R27" s="293">
        <v>273363636</v>
      </c>
      <c r="S27" s="294">
        <v>273363636</v>
      </c>
      <c r="T27" s="290" t="s">
        <v>12</v>
      </c>
      <c r="U27" s="290" t="s">
        <v>1379</v>
      </c>
      <c r="V27" s="290" t="s">
        <v>11</v>
      </c>
      <c r="W27" s="290" t="s">
        <v>9</v>
      </c>
      <c r="X27" s="290" t="s">
        <v>14</v>
      </c>
      <c r="Y27" s="204" t="s">
        <v>1312</v>
      </c>
      <c r="Z27" s="313">
        <f t="shared" si="0"/>
        <v>300699999.60000002</v>
      </c>
      <c r="AA27" s="314">
        <f>VLOOKUP(H27,'Dự thu chiết khấu'!$L$4:$AB$204,17,0)-Z27</f>
        <v>0.39999997615814209</v>
      </c>
    </row>
    <row r="28" spans="1:27" ht="10.5" hidden="1" customHeight="1">
      <c r="A28" s="289">
        <v>46121</v>
      </c>
      <c r="B28" s="290" t="s">
        <v>8</v>
      </c>
      <c r="C28" s="291" t="s">
        <v>1039</v>
      </c>
      <c r="D28" s="291" t="s">
        <v>1039</v>
      </c>
      <c r="E28" s="290" t="s">
        <v>1380</v>
      </c>
      <c r="F28" s="290" t="s">
        <v>356</v>
      </c>
      <c r="G28" s="290" t="s">
        <v>1381</v>
      </c>
      <c r="H28" s="204" t="str" cm="1">
        <f t="array" ref="H28">IFERROR(TRIM(LEFT(SUBSTITUTE(MID(G28,FIND("SK:",G28)+3,50),"-",REPT(" ",50)),50)),IFERROR(TRIM(LEFT(SUBSTITUTE(MID(J28,FIND("SK:",J28)+3,50),"-",REPT(" ",50)),50)),IFERROR(INDEX($H$6:$H$211,MATCH(1,(($I$6:$I$211=I28)*(ISNUMBER(SEARCH("SK:",$G$6:$G$211)))),0)),"")))</f>
        <v>RNXVGRPK3TT702498</v>
      </c>
      <c r="I28" s="290" t="s">
        <v>1382</v>
      </c>
      <c r="J28" s="290" t="s">
        <v>1381</v>
      </c>
      <c r="K28" s="290" t="s">
        <v>1313</v>
      </c>
      <c r="L28" s="292">
        <v>1</v>
      </c>
      <c r="M28" s="293">
        <v>257454545</v>
      </c>
      <c r="N28" s="294">
        <v>257454545</v>
      </c>
      <c r="O28" s="294">
        <v>25745455</v>
      </c>
      <c r="P28" s="294">
        <v>0</v>
      </c>
      <c r="Q28" s="294">
        <v>283200000</v>
      </c>
      <c r="R28" s="293">
        <v>266181818</v>
      </c>
      <c r="S28" s="294">
        <v>266181818</v>
      </c>
      <c r="T28" s="290" t="s">
        <v>12</v>
      </c>
      <c r="U28" s="290" t="s">
        <v>1314</v>
      </c>
      <c r="V28" s="290" t="s">
        <v>11</v>
      </c>
      <c r="W28" s="290" t="s">
        <v>9</v>
      </c>
      <c r="X28" s="290" t="s">
        <v>14</v>
      </c>
      <c r="Y28" s="204" t="s">
        <v>1312</v>
      </c>
      <c r="Z28" s="313">
        <f t="shared" si="0"/>
        <v>292799999.80000001</v>
      </c>
      <c r="AA28" s="314">
        <f>VLOOKUP(H28,'Dự thu chiết khấu'!$L$4:$AB$204,17,0)-Z28</f>
        <v>0.19999998807907104</v>
      </c>
    </row>
    <row r="29" spans="1:27" ht="10.5" hidden="1" customHeight="1">
      <c r="A29" s="289">
        <v>46122</v>
      </c>
      <c r="B29" s="290" t="s">
        <v>8</v>
      </c>
      <c r="C29" s="291" t="s">
        <v>1040</v>
      </c>
      <c r="D29" s="291" t="s">
        <v>1040</v>
      </c>
      <c r="E29" s="290" t="s">
        <v>1383</v>
      </c>
      <c r="F29" s="290" t="s">
        <v>1041</v>
      </c>
      <c r="G29" s="290" t="s">
        <v>1384</v>
      </c>
      <c r="H29" s="204" t="str" cm="1">
        <f t="array" ref="H29">IFERROR(TRIM(LEFT(SUBSTITUTE(MID(G29,FIND("SK:",G29)+3,50),"-",REPT(" ",50)),50)),IFERROR(TRIM(LEFT(SUBSTITUTE(MID(J29,FIND("SK:",J29)+3,50),"-",REPT(" ",50)),50)),IFERROR(INDEX($H$6:$H$211,MATCH(1,(($I$6:$I$211=I29)*(ISNUMBER(SEARCH("SK:",$G$6:$G$211)))),0)),"")))</f>
        <v>RLNV5JSE1TH739581</v>
      </c>
      <c r="I29" s="290" t="s">
        <v>1385</v>
      </c>
      <c r="J29" s="290" t="s">
        <v>1384</v>
      </c>
      <c r="K29" s="290" t="s">
        <v>1313</v>
      </c>
      <c r="L29" s="292">
        <v>1</v>
      </c>
      <c r="M29" s="293">
        <v>435470955</v>
      </c>
      <c r="N29" s="294">
        <v>435470955</v>
      </c>
      <c r="O29" s="294">
        <v>43547095</v>
      </c>
      <c r="P29" s="294">
        <v>0</v>
      </c>
      <c r="Q29" s="294">
        <v>479018050</v>
      </c>
      <c r="R29" s="293">
        <v>461672727</v>
      </c>
      <c r="S29" s="294">
        <v>461672727</v>
      </c>
      <c r="T29" s="290" t="s">
        <v>12</v>
      </c>
      <c r="U29" s="290" t="s">
        <v>1314</v>
      </c>
      <c r="V29" s="290" t="s">
        <v>11</v>
      </c>
      <c r="W29" s="290" t="s">
        <v>9</v>
      </c>
      <c r="X29" s="290" t="s">
        <v>15</v>
      </c>
      <c r="Y29" s="204" t="s">
        <v>1312</v>
      </c>
      <c r="Z29" s="313">
        <f t="shared" si="0"/>
        <v>507839999.70000005</v>
      </c>
      <c r="AA29" s="314">
        <f>VLOOKUP(H29,'Dự thu chiết khấu'!$L$4:$AB$204,17,0)-Z29</f>
        <v>0.29999995231628418</v>
      </c>
    </row>
    <row r="30" spans="1:27" ht="10.5" hidden="1" customHeight="1">
      <c r="A30" s="289">
        <v>46122</v>
      </c>
      <c r="B30" s="290" t="s">
        <v>8</v>
      </c>
      <c r="C30" s="291" t="s">
        <v>1042</v>
      </c>
      <c r="D30" s="291" t="s">
        <v>1042</v>
      </c>
      <c r="E30" s="290" t="s">
        <v>1386</v>
      </c>
      <c r="F30" s="290" t="s">
        <v>1043</v>
      </c>
      <c r="G30" s="290" t="s">
        <v>1387</v>
      </c>
      <c r="H30" s="204" t="str" cm="1">
        <f t="array" ref="H30">IFERROR(TRIM(LEFT(SUBSTITUTE(MID(G30,FIND("SK:",G30)+3,50),"-",REPT(" ",50)),50)),IFERROR(TRIM(LEFT(SUBSTITUTE(MID(J30,FIND("SK:",J30)+3,50),"-",REPT(" ",50)),50)),IFERROR(INDEX($H$6:$H$211,MATCH(1,(($I$6:$I$211=I30)*(ISNUMBER(SEARCH("SK:",$G$6:$G$211)))),0)),"")))</f>
        <v>RLLVFPNT8SH874882</v>
      </c>
      <c r="I30" s="290" t="s">
        <v>1388</v>
      </c>
      <c r="J30" s="290" t="s">
        <v>1387</v>
      </c>
      <c r="K30" s="290" t="s">
        <v>1313</v>
      </c>
      <c r="L30" s="292">
        <v>1</v>
      </c>
      <c r="M30" s="293">
        <v>639572727</v>
      </c>
      <c r="N30" s="294">
        <v>639572727</v>
      </c>
      <c r="O30" s="294">
        <v>63957273</v>
      </c>
      <c r="P30" s="294">
        <v>0</v>
      </c>
      <c r="Q30" s="294">
        <v>703530000</v>
      </c>
      <c r="R30" s="293">
        <v>660481818</v>
      </c>
      <c r="S30" s="294">
        <v>660481818</v>
      </c>
      <c r="T30" s="290" t="s">
        <v>12</v>
      </c>
      <c r="U30" s="290" t="s">
        <v>1318</v>
      </c>
      <c r="V30" s="290" t="s">
        <v>11</v>
      </c>
      <c r="W30" s="290" t="s">
        <v>9</v>
      </c>
      <c r="X30" s="290" t="s">
        <v>15</v>
      </c>
      <c r="Y30" s="204" t="s">
        <v>1312</v>
      </c>
      <c r="Z30" s="313">
        <f t="shared" si="0"/>
        <v>726529999.80000007</v>
      </c>
      <c r="AA30" s="314">
        <f>VLOOKUP(H30,'Dự thu chiết khấu'!$L$4:$AB$204,17,0)-Z30</f>
        <v>0.19999992847442627</v>
      </c>
    </row>
    <row r="31" spans="1:27" ht="10.5" hidden="1" customHeight="1">
      <c r="A31" s="289">
        <v>46122</v>
      </c>
      <c r="B31" s="290" t="s">
        <v>8</v>
      </c>
      <c r="C31" s="291" t="s">
        <v>1044</v>
      </c>
      <c r="D31" s="291" t="s">
        <v>1044</v>
      </c>
      <c r="E31" s="290" t="s">
        <v>1389</v>
      </c>
      <c r="F31" s="290" t="s">
        <v>359</v>
      </c>
      <c r="G31" s="290" t="s">
        <v>1390</v>
      </c>
      <c r="H31" s="204" t="str" cm="1">
        <f t="array" ref="H31">IFERROR(TRIM(LEFT(SUBSTITUTE(MID(G31,FIND("SK:",G31)+3,50),"-",REPT(" ",50)),50)),IFERROR(TRIM(LEFT(SUBSTITUTE(MID(J31,FIND("SK:",J31)+3,50),"-",REPT(" ",50)),50)),IFERROR(INDEX($H$6:$H$211,MATCH(1,(($I$6:$I$211=I31)*(ISNUMBER(SEARCH("SK:",$G$6:$G$211)))),0)),"")))</f>
        <v>RLNV5JSE6TH714191</v>
      </c>
      <c r="I31" s="290" t="s">
        <v>1391</v>
      </c>
      <c r="J31" s="290" t="s">
        <v>1390</v>
      </c>
      <c r="K31" s="290" t="s">
        <v>1313</v>
      </c>
      <c r="L31" s="292">
        <v>1</v>
      </c>
      <c r="M31" s="293">
        <v>460118182</v>
      </c>
      <c r="N31" s="294">
        <v>460118182</v>
      </c>
      <c r="O31" s="294">
        <v>46011818</v>
      </c>
      <c r="P31" s="294">
        <v>0</v>
      </c>
      <c r="Q31" s="294">
        <v>506130000</v>
      </c>
      <c r="R31" s="293">
        <v>461672727</v>
      </c>
      <c r="S31" s="294">
        <v>461672727</v>
      </c>
      <c r="T31" s="290" t="s">
        <v>12</v>
      </c>
      <c r="U31" s="290" t="s">
        <v>1318</v>
      </c>
      <c r="V31" s="290" t="s">
        <v>11</v>
      </c>
      <c r="W31" s="290" t="s">
        <v>9</v>
      </c>
      <c r="X31" s="290" t="s">
        <v>14</v>
      </c>
      <c r="Y31" s="204" t="s">
        <v>1312</v>
      </c>
      <c r="Z31" s="313">
        <f t="shared" si="0"/>
        <v>507839999.70000005</v>
      </c>
      <c r="AA31" s="314">
        <f>VLOOKUP(H31,'Dự thu chiết khấu'!$L$4:$AB$204,17,0)-Z31</f>
        <v>0.29999995231628418</v>
      </c>
    </row>
    <row r="32" spans="1:27" ht="10.5" hidden="1" customHeight="1">
      <c r="A32" s="289">
        <v>46122</v>
      </c>
      <c r="B32" s="290" t="s">
        <v>8</v>
      </c>
      <c r="C32" s="291" t="s">
        <v>1045</v>
      </c>
      <c r="D32" s="291" t="s">
        <v>1045</v>
      </c>
      <c r="E32" s="290" t="s">
        <v>1392</v>
      </c>
      <c r="F32" s="290" t="s">
        <v>405</v>
      </c>
      <c r="G32" s="290" t="s">
        <v>1393</v>
      </c>
      <c r="H32" s="204" t="str" cm="1">
        <f t="array" ref="H32">IFERROR(TRIM(LEFT(SUBSTITUTE(MID(G32,FIND("SK:",G32)+3,50),"-",REPT(" ",50)),50)),IFERROR(TRIM(LEFT(SUBSTITUTE(MID(J32,FIND("SK:",J32)+3,50),"-",REPT(" ",50)),50)),IFERROR(INDEX($H$6:$H$211,MATCH(1,(($I$6:$I$211=I32)*(ISNUMBER(SEARCH("SK:",$G$6:$G$211)))),0)),"")))</f>
        <v>RLLVFPTT1TH722897</v>
      </c>
      <c r="I32" s="290" t="s">
        <v>1394</v>
      </c>
      <c r="J32" s="290" t="s">
        <v>1393</v>
      </c>
      <c r="K32" s="290" t="s">
        <v>1313</v>
      </c>
      <c r="L32" s="292">
        <v>1</v>
      </c>
      <c r="M32" s="293">
        <v>744545455</v>
      </c>
      <c r="N32" s="294">
        <v>744545455</v>
      </c>
      <c r="O32" s="294">
        <v>74454545</v>
      </c>
      <c r="P32" s="294">
        <v>0</v>
      </c>
      <c r="Q32" s="294">
        <v>819000000</v>
      </c>
      <c r="R32" s="293">
        <v>714763636</v>
      </c>
      <c r="S32" s="294">
        <v>714763636</v>
      </c>
      <c r="T32" s="290" t="s">
        <v>12</v>
      </c>
      <c r="U32" s="290" t="s">
        <v>1334</v>
      </c>
      <c r="V32" s="290" t="s">
        <v>11</v>
      </c>
      <c r="W32" s="290" t="s">
        <v>9</v>
      </c>
      <c r="X32" s="290" t="s">
        <v>14</v>
      </c>
      <c r="Y32" s="204" t="s">
        <v>1312</v>
      </c>
      <c r="Z32" s="313">
        <f t="shared" si="0"/>
        <v>786239999.60000002</v>
      </c>
      <c r="AA32" s="314">
        <f>VLOOKUP(H32,'Dự thu chiết khấu'!$L$4:$AB$204,17,0)-Z32</f>
        <v>0.39999997615814209</v>
      </c>
    </row>
    <row r="33" spans="1:27" ht="10.5" hidden="1" customHeight="1">
      <c r="A33" s="289">
        <v>46122</v>
      </c>
      <c r="B33" s="290" t="s">
        <v>8</v>
      </c>
      <c r="C33" s="291" t="s">
        <v>1046</v>
      </c>
      <c r="D33" s="291" t="s">
        <v>1046</v>
      </c>
      <c r="E33" s="290" t="s">
        <v>1395</v>
      </c>
      <c r="F33" s="290" t="s">
        <v>1047</v>
      </c>
      <c r="G33" s="290" t="s">
        <v>1396</v>
      </c>
      <c r="H33" s="204" t="str" cm="1">
        <f t="array" ref="H33">IFERROR(TRIM(LEFT(SUBSTITUTE(MID(G33,FIND("SK:",G33)+3,50),"-",REPT(" ",50)),50)),IFERROR(TRIM(LEFT(SUBSTITUTE(MID(J33,FIND("SK:",J33)+3,50),"-",REPT(" ",50)),50)),IFERROR(INDEX($H$6:$H$211,MATCH(1,(($I$6:$I$211=I33)*(ISNUMBER(SEARCH("SK:",$G$6:$G$211)))),0)),"")))</f>
        <v>RNXVGRPK6TT702527</v>
      </c>
      <c r="I33" s="290" t="s">
        <v>1397</v>
      </c>
      <c r="J33" s="290" t="s">
        <v>1396</v>
      </c>
      <c r="K33" s="290" t="s">
        <v>1313</v>
      </c>
      <c r="L33" s="292">
        <v>1</v>
      </c>
      <c r="M33" s="293">
        <v>268954545</v>
      </c>
      <c r="N33" s="294">
        <v>268954545</v>
      </c>
      <c r="O33" s="294">
        <v>26895455</v>
      </c>
      <c r="P33" s="294">
        <v>0</v>
      </c>
      <c r="Q33" s="294">
        <v>295850000</v>
      </c>
      <c r="R33" s="293">
        <v>266181818</v>
      </c>
      <c r="S33" s="294">
        <v>266181818</v>
      </c>
      <c r="T33" s="290" t="s">
        <v>12</v>
      </c>
      <c r="U33" s="290" t="s">
        <v>1314</v>
      </c>
      <c r="V33" s="290" t="s">
        <v>11</v>
      </c>
      <c r="W33" s="290" t="s">
        <v>9</v>
      </c>
      <c r="X33" s="290" t="s">
        <v>15</v>
      </c>
      <c r="Y33" s="204" t="s">
        <v>1312</v>
      </c>
      <c r="Z33" s="313">
        <f t="shared" si="0"/>
        <v>292799999.80000001</v>
      </c>
      <c r="AA33" s="314">
        <f>VLOOKUP(H33,'Dự thu chiết khấu'!$L$4:$AB$204,17,0)-Z33</f>
        <v>0.19999998807907104</v>
      </c>
    </row>
    <row r="34" spans="1:27" ht="10.5" hidden="1" customHeight="1">
      <c r="A34" s="289">
        <v>46122</v>
      </c>
      <c r="B34" s="290" t="s">
        <v>8</v>
      </c>
      <c r="C34" s="291" t="s">
        <v>1048</v>
      </c>
      <c r="D34" s="291" t="s">
        <v>1048</v>
      </c>
      <c r="E34" s="290" t="s">
        <v>1398</v>
      </c>
      <c r="F34" s="290" t="s">
        <v>1049</v>
      </c>
      <c r="G34" s="290" t="s">
        <v>1399</v>
      </c>
      <c r="H34" s="204" t="str" cm="1">
        <f t="array" ref="H34">IFERROR(TRIM(LEFT(SUBSTITUTE(MID(G34,FIND("SK:",G34)+3,50),"-",REPT(" ",50)),50)),IFERROR(TRIM(LEFT(SUBSTITUTE(MID(J34,FIND("SK:",J34)+3,50),"-",REPT(" ",50)),50)),IFERROR(INDEX($H$6:$H$211,MATCH(1,(($I$6:$I$211=I34)*(ISNUMBER(SEARCH("SK:",$G$6:$G$211)))),0)),"")))</f>
        <v>RLLVFPNTXTH701821</v>
      </c>
      <c r="I34" s="290" t="s">
        <v>1400</v>
      </c>
      <c r="J34" s="290" t="s">
        <v>1399</v>
      </c>
      <c r="K34" s="290" t="s">
        <v>1313</v>
      </c>
      <c r="L34" s="292">
        <v>1</v>
      </c>
      <c r="M34" s="293">
        <v>629145455</v>
      </c>
      <c r="N34" s="294">
        <v>629145455</v>
      </c>
      <c r="O34" s="294">
        <v>62914545</v>
      </c>
      <c r="P34" s="294">
        <v>0</v>
      </c>
      <c r="Q34" s="294">
        <v>692060000</v>
      </c>
      <c r="R34" s="293">
        <v>653672727</v>
      </c>
      <c r="S34" s="294">
        <v>653672727</v>
      </c>
      <c r="T34" s="290" t="s">
        <v>12</v>
      </c>
      <c r="U34" s="290" t="s">
        <v>1314</v>
      </c>
      <c r="V34" s="290" t="s">
        <v>11</v>
      </c>
      <c r="W34" s="290" t="s">
        <v>9</v>
      </c>
      <c r="X34" s="290" t="s">
        <v>15</v>
      </c>
      <c r="Y34" s="204" t="s">
        <v>1312</v>
      </c>
      <c r="Z34" s="313">
        <f t="shared" si="0"/>
        <v>719039999.70000005</v>
      </c>
      <c r="AA34" s="314">
        <f>VLOOKUP(H34,'Dự thu chiết khấu'!$L$4:$AB$204,17,0)-Z34</f>
        <v>0.29999995231628418</v>
      </c>
    </row>
    <row r="35" spans="1:27" ht="10.5" hidden="1" customHeight="1">
      <c r="A35" s="289">
        <v>46122</v>
      </c>
      <c r="B35" s="290" t="s">
        <v>8</v>
      </c>
      <c r="C35" s="291" t="s">
        <v>1164</v>
      </c>
      <c r="D35" s="291" t="s">
        <v>1164</v>
      </c>
      <c r="E35" s="290" t="s">
        <v>1401</v>
      </c>
      <c r="F35" s="290" t="s">
        <v>1165</v>
      </c>
      <c r="G35" s="290" t="s">
        <v>1402</v>
      </c>
      <c r="H35" s="204" t="str" cm="1">
        <f t="array" ref="H35">IFERROR(TRIM(LEFT(SUBSTITUTE(MID(G35,FIND("SK:",G35)+3,50),"-",REPT(" ",50)),50)),IFERROR(TRIM(LEFT(SUBSTITUTE(MID(J35,FIND("SK:",J35)+3,50),"-",REPT(" ",50)),50)),IFERROR(INDEX($H$6:$H$211,MATCH(1,(($I$6:$I$211=I35)*(ISNUMBER(SEARCH("SK:",$G$6:$G$211)))),0)),"")))</f>
        <v>RLNVBL9K3ST715763</v>
      </c>
      <c r="I35" s="290" t="s">
        <v>1403</v>
      </c>
      <c r="J35" s="290" t="s">
        <v>1402</v>
      </c>
      <c r="K35" s="290" t="s">
        <v>1313</v>
      </c>
      <c r="L35" s="292">
        <v>1</v>
      </c>
      <c r="M35" s="293">
        <v>248545455</v>
      </c>
      <c r="N35" s="294">
        <v>248545455</v>
      </c>
      <c r="O35" s="294">
        <v>24854545</v>
      </c>
      <c r="P35" s="294">
        <v>0</v>
      </c>
      <c r="Q35" s="294">
        <v>273400000</v>
      </c>
      <c r="R35" s="293">
        <v>270545455</v>
      </c>
      <c r="S35" s="294">
        <v>270545455</v>
      </c>
      <c r="T35" s="290" t="s">
        <v>12</v>
      </c>
      <c r="U35" s="290" t="s">
        <v>1379</v>
      </c>
      <c r="V35" s="290" t="s">
        <v>11</v>
      </c>
      <c r="W35" s="290" t="s">
        <v>9</v>
      </c>
      <c r="X35" s="290" t="s">
        <v>15</v>
      </c>
      <c r="Y35" s="204" t="s">
        <v>1312</v>
      </c>
      <c r="Z35" s="313">
        <f t="shared" si="0"/>
        <v>297600000.5</v>
      </c>
      <c r="AA35" s="314">
        <f>VLOOKUP(H35,'Dự thu chiết khấu'!$L$4:$AB$204,17,0)-Z35</f>
        <v>-0.5</v>
      </c>
    </row>
    <row r="36" spans="1:27" ht="10.5" hidden="1" customHeight="1">
      <c r="A36" s="289">
        <v>46122</v>
      </c>
      <c r="B36" s="290" t="s">
        <v>8</v>
      </c>
      <c r="C36" s="291" t="s">
        <v>1050</v>
      </c>
      <c r="D36" s="291" t="s">
        <v>1050</v>
      </c>
      <c r="E36" s="290" t="s">
        <v>1404</v>
      </c>
      <c r="F36" s="290" t="s">
        <v>1051</v>
      </c>
      <c r="G36" s="290" t="s">
        <v>1405</v>
      </c>
      <c r="H36" s="204" t="str" cm="1">
        <f t="array" ref="H36">IFERROR(TRIM(LEFT(SUBSTITUTE(MID(G36,FIND("SK:",G36)+3,50),"-",REPT(" ",50)),50)),IFERROR(TRIM(LEFT(SUBSTITUTE(MID(J36,FIND("SK:",J36)+3,50),"-",REPT(" ",50)),50)),IFERROR(INDEX($H$6:$H$211,MATCH(1,(($I$6:$I$211=I36)*(ISNUMBER(SEARCH("SK:",$G$6:$G$211)))),0)),"")))</f>
        <v>RLLVFPNT4TH742347</v>
      </c>
      <c r="I36" s="290" t="s">
        <v>1406</v>
      </c>
      <c r="J36" s="290" t="s">
        <v>1405</v>
      </c>
      <c r="K36" s="290" t="s">
        <v>1313</v>
      </c>
      <c r="L36" s="292">
        <v>1</v>
      </c>
      <c r="M36" s="293">
        <v>640054545</v>
      </c>
      <c r="N36" s="294">
        <v>640054545</v>
      </c>
      <c r="O36" s="294">
        <v>64005455</v>
      </c>
      <c r="P36" s="294">
        <v>0</v>
      </c>
      <c r="Q36" s="294">
        <v>704060000</v>
      </c>
      <c r="R36" s="293">
        <v>653672727</v>
      </c>
      <c r="S36" s="294">
        <v>653672727</v>
      </c>
      <c r="T36" s="290" t="s">
        <v>12</v>
      </c>
      <c r="U36" s="290" t="s">
        <v>1314</v>
      </c>
      <c r="V36" s="290" t="s">
        <v>11</v>
      </c>
      <c r="W36" s="290" t="s">
        <v>9</v>
      </c>
      <c r="X36" s="290" t="s">
        <v>15</v>
      </c>
      <c r="Y36" s="204" t="s">
        <v>1312</v>
      </c>
      <c r="Z36" s="313">
        <f t="shared" si="0"/>
        <v>719039999.70000005</v>
      </c>
      <c r="AA36" s="314">
        <f>VLOOKUP(H36,'Dự thu chiết khấu'!$L$4:$AB$204,17,0)-Z36</f>
        <v>0.29999995231628418</v>
      </c>
    </row>
    <row r="37" spans="1:27" ht="10.5" hidden="1" customHeight="1">
      <c r="A37" s="289">
        <v>46122</v>
      </c>
      <c r="B37" s="290" t="s">
        <v>8</v>
      </c>
      <c r="C37" s="291" t="s">
        <v>1161</v>
      </c>
      <c r="D37" s="291" t="s">
        <v>1161</v>
      </c>
      <c r="E37" s="290" t="s">
        <v>1407</v>
      </c>
      <c r="F37" s="290" t="s">
        <v>1162</v>
      </c>
      <c r="G37" s="290" t="s">
        <v>1408</v>
      </c>
      <c r="H37" s="204" t="str" cm="1">
        <f t="array" ref="H37">IFERROR(TRIM(LEFT(SUBSTITUTE(MID(G37,FIND("SK:",G37)+3,50),"-",REPT(" ",50)),50)),IFERROR(TRIM(LEFT(SUBSTITUTE(MID(J37,FIND("SK:",J37)+3,50),"-",REPT(" ",50)),50)),IFERROR(INDEX($H$6:$H$211,MATCH(1,(($I$6:$I$211=I37)*(ISNUMBER(SEARCH("SK:",$G$6:$G$211)))),0)),"")))</f>
        <v>RLLVFPTT4TH731965</v>
      </c>
      <c r="I37" s="290" t="s">
        <v>1409</v>
      </c>
      <c r="J37" s="290" t="s">
        <v>1408</v>
      </c>
      <c r="K37" s="290" t="s">
        <v>1313</v>
      </c>
      <c r="L37" s="292">
        <v>1</v>
      </c>
      <c r="M37" s="293">
        <v>677536364</v>
      </c>
      <c r="N37" s="294">
        <v>677536364</v>
      </c>
      <c r="O37" s="294">
        <v>67753636</v>
      </c>
      <c r="P37" s="294">
        <v>0</v>
      </c>
      <c r="Q37" s="294">
        <v>745290000</v>
      </c>
      <c r="R37" s="293">
        <v>714763636</v>
      </c>
      <c r="S37" s="294">
        <v>714763636</v>
      </c>
      <c r="T37" s="290" t="s">
        <v>12</v>
      </c>
      <c r="U37" s="290" t="s">
        <v>1314</v>
      </c>
      <c r="V37" s="290" t="s">
        <v>11</v>
      </c>
      <c r="W37" s="290" t="s">
        <v>9</v>
      </c>
      <c r="X37" s="290" t="s">
        <v>15</v>
      </c>
      <c r="Y37" s="204" t="s">
        <v>1312</v>
      </c>
      <c r="Z37" s="313">
        <f t="shared" si="0"/>
        <v>786239999.60000002</v>
      </c>
      <c r="AA37" s="314">
        <f>VLOOKUP(H37,'Dự thu chiết khấu'!$L$4:$AB$204,17,0)-Z37</f>
        <v>0.39999997615814209</v>
      </c>
    </row>
    <row r="38" spans="1:27" ht="10.5" hidden="1" customHeight="1">
      <c r="A38" s="289">
        <v>46122</v>
      </c>
      <c r="B38" s="290" t="s">
        <v>8</v>
      </c>
      <c r="C38" s="291" t="s">
        <v>1052</v>
      </c>
      <c r="D38" s="291" t="s">
        <v>1052</v>
      </c>
      <c r="E38" s="290" t="s">
        <v>1410</v>
      </c>
      <c r="F38" s="290" t="s">
        <v>1053</v>
      </c>
      <c r="G38" s="290" t="s">
        <v>1411</v>
      </c>
      <c r="H38" s="204" t="str" cm="1">
        <f t="array" ref="H38">IFERROR(TRIM(LEFT(SUBSTITUTE(MID(G38,FIND("SK:",G38)+3,50),"-",REPT(" ",50)),50)),IFERROR(TRIM(LEFT(SUBSTITUTE(MID(J38,FIND("SK:",J38)+3,50),"-",REPT(" ",50)),50)),IFERROR(INDEX($H$6:$H$211,MATCH(1,(($I$6:$I$211=I38)*(ISNUMBER(SEARCH("SK:",$G$6:$G$211)))),0)),"")))</f>
        <v>RLNV5JSE6TH736286</v>
      </c>
      <c r="I38" s="290" t="s">
        <v>1412</v>
      </c>
      <c r="J38" s="290" t="s">
        <v>1411</v>
      </c>
      <c r="K38" s="290" t="s">
        <v>1313</v>
      </c>
      <c r="L38" s="292">
        <v>1</v>
      </c>
      <c r="M38" s="293">
        <v>442963636</v>
      </c>
      <c r="N38" s="294">
        <v>442963636</v>
      </c>
      <c r="O38" s="294">
        <v>44296364</v>
      </c>
      <c r="P38" s="294">
        <v>0</v>
      </c>
      <c r="Q38" s="294">
        <v>487260000</v>
      </c>
      <c r="R38" s="293">
        <v>461672727</v>
      </c>
      <c r="S38" s="294">
        <v>461672727</v>
      </c>
      <c r="T38" s="290" t="s">
        <v>12</v>
      </c>
      <c r="U38" s="290" t="s">
        <v>1314</v>
      </c>
      <c r="V38" s="290" t="s">
        <v>11</v>
      </c>
      <c r="W38" s="290" t="s">
        <v>9</v>
      </c>
      <c r="X38" s="290" t="s">
        <v>15</v>
      </c>
      <c r="Y38" s="204" t="s">
        <v>1312</v>
      </c>
      <c r="Z38" s="313">
        <f t="shared" si="0"/>
        <v>507839999.70000005</v>
      </c>
      <c r="AA38" s="314">
        <f>VLOOKUP(H38,'Dự thu chiết khấu'!$L$4:$AB$204,17,0)-Z38</f>
        <v>0.29999995231628418</v>
      </c>
    </row>
    <row r="39" spans="1:27" ht="10.5" hidden="1" customHeight="1">
      <c r="A39" s="289">
        <v>46122</v>
      </c>
      <c r="B39" s="290" t="s">
        <v>8</v>
      </c>
      <c r="C39" s="291" t="s">
        <v>1163</v>
      </c>
      <c r="D39" s="291" t="s">
        <v>1163</v>
      </c>
      <c r="E39" s="290" t="s">
        <v>1413</v>
      </c>
      <c r="F39" s="290" t="s">
        <v>409</v>
      </c>
      <c r="G39" s="290" t="s">
        <v>1414</v>
      </c>
      <c r="H39" s="204" t="str" cm="1">
        <f t="array" ref="H39">IFERROR(TRIM(LEFT(SUBSTITUTE(MID(G39,FIND("SK:",G39)+3,50),"-",REPT(" ",50)),50)),IFERROR(TRIM(LEFT(SUBSTITUTE(MID(J39,FIND("SK:",J39)+3,50),"-",REPT(" ",50)),50)),IFERROR(INDEX($H$6:$H$211,MATCH(1,(($I$6:$I$211=I39)*(ISNUMBER(SEARCH("SK:",$G$6:$G$211)))),0)),"")))</f>
        <v>RLNVBL9K9ST706159</v>
      </c>
      <c r="I39" s="290" t="s">
        <v>1415</v>
      </c>
      <c r="J39" s="290" t="s">
        <v>1414</v>
      </c>
      <c r="K39" s="290" t="s">
        <v>1313</v>
      </c>
      <c r="L39" s="292">
        <v>1</v>
      </c>
      <c r="M39" s="293">
        <v>243690909</v>
      </c>
      <c r="N39" s="294">
        <v>243690909</v>
      </c>
      <c r="O39" s="294">
        <v>24369091</v>
      </c>
      <c r="P39" s="294">
        <v>0</v>
      </c>
      <c r="Q39" s="294">
        <v>268060000</v>
      </c>
      <c r="R39" s="293">
        <v>263663636</v>
      </c>
      <c r="S39" s="294">
        <v>263663636</v>
      </c>
      <c r="T39" s="290" t="s">
        <v>12</v>
      </c>
      <c r="U39" s="290" t="s">
        <v>1318</v>
      </c>
      <c r="V39" s="290" t="s">
        <v>11</v>
      </c>
      <c r="W39" s="290" t="s">
        <v>9</v>
      </c>
      <c r="X39" s="290" t="s">
        <v>10</v>
      </c>
      <c r="Y39" s="204" t="s">
        <v>1312</v>
      </c>
      <c r="Z39" s="313">
        <f t="shared" si="0"/>
        <v>290029999.60000002</v>
      </c>
      <c r="AA39" s="314">
        <f>VLOOKUP(H39,'Dự thu chiết khấu'!$L$4:$AB$204,17,0)-Z39</f>
        <v>0.39999997615814209</v>
      </c>
    </row>
    <row r="40" spans="1:27" ht="10.5" hidden="1" customHeight="1">
      <c r="A40" s="289">
        <v>46125</v>
      </c>
      <c r="B40" s="290" t="s">
        <v>8</v>
      </c>
      <c r="C40" s="291" t="s">
        <v>1054</v>
      </c>
      <c r="D40" s="291" t="s">
        <v>1054</v>
      </c>
      <c r="E40" s="290" t="s">
        <v>1416</v>
      </c>
      <c r="F40" s="290" t="s">
        <v>424</v>
      </c>
      <c r="G40" s="290" t="s">
        <v>1417</v>
      </c>
      <c r="H40" s="204" t="str" cm="1">
        <f t="array" ref="H40">IFERROR(TRIM(LEFT(SUBSTITUTE(MID(G40,FIND("SK:",G40)+3,50),"-",REPT(" ",50)),50)),IFERROR(TRIM(LEFT(SUBSTITUTE(MID(J40,FIND("SK:",J40)+3,50),"-",REPT(" ",50)),50)),IFERROR(INDEX($H$6:$H$211,MATCH(1,(($I$6:$I$211=I40)*(ISNUMBER(SEARCH("SK:",$G$6:$G$211)))),0)),"")))</f>
        <v>RLLVAG8CXTH737325</v>
      </c>
      <c r="I40" s="290" t="s">
        <v>1418</v>
      </c>
      <c r="J40" s="290" t="s">
        <v>1417</v>
      </c>
      <c r="K40" s="290" t="s">
        <v>1313</v>
      </c>
      <c r="L40" s="292">
        <v>1</v>
      </c>
      <c r="M40" s="293">
        <v>632090909</v>
      </c>
      <c r="N40" s="294">
        <v>632090909</v>
      </c>
      <c r="O40" s="294">
        <v>63209091</v>
      </c>
      <c r="P40" s="294">
        <v>0</v>
      </c>
      <c r="Q40" s="294">
        <v>695300000</v>
      </c>
      <c r="R40" s="293">
        <v>650181818</v>
      </c>
      <c r="S40" s="294">
        <v>650181818</v>
      </c>
      <c r="T40" s="290" t="s">
        <v>12</v>
      </c>
      <c r="U40" s="290" t="s">
        <v>1314</v>
      </c>
      <c r="V40" s="290" t="s">
        <v>11</v>
      </c>
      <c r="W40" s="290" t="s">
        <v>9</v>
      </c>
      <c r="X40" s="290" t="s">
        <v>14</v>
      </c>
      <c r="Y40" s="204" t="s">
        <v>1312</v>
      </c>
      <c r="Z40" s="313">
        <f t="shared" si="0"/>
        <v>715199999.80000007</v>
      </c>
      <c r="AA40" s="314">
        <f>VLOOKUP(H40,'Dự thu chiết khấu'!$L$4:$AB$204,17,0)-Z40</f>
        <v>0.19999992847442627</v>
      </c>
    </row>
    <row r="41" spans="1:27" ht="10.5" hidden="1" customHeight="1">
      <c r="A41" s="289">
        <v>46125</v>
      </c>
      <c r="B41" s="290" t="s">
        <v>8</v>
      </c>
      <c r="C41" s="291" t="s">
        <v>1055</v>
      </c>
      <c r="D41" s="291" t="s">
        <v>1055</v>
      </c>
      <c r="E41" s="290" t="s">
        <v>1419</v>
      </c>
      <c r="F41" s="290" t="s">
        <v>417</v>
      </c>
      <c r="G41" s="290" t="s">
        <v>1420</v>
      </c>
      <c r="H41" s="204" t="str" cm="1">
        <f t="array" ref="H41">IFERROR(TRIM(LEFT(SUBSTITUTE(MID(G41,FIND("SK:",G41)+3,50),"-",REPT(" ",50)),50)),IFERROR(TRIM(LEFT(SUBSTITUTE(MID(J41,FIND("SK:",J41)+3,50),"-",REPT(" ",50)),50)),IFERROR(INDEX($H$6:$H$211,MATCH(1,(($I$6:$I$211=I41)*(ISNUMBER(SEARCH("SK:",$G$6:$G$211)))),0)),"")))</f>
        <v>RLNVBL9K3TT711956</v>
      </c>
      <c r="I41" s="290" t="s">
        <v>1421</v>
      </c>
      <c r="J41" s="290" t="s">
        <v>1420</v>
      </c>
      <c r="K41" s="290" t="s">
        <v>1313</v>
      </c>
      <c r="L41" s="292">
        <v>1</v>
      </c>
      <c r="M41" s="293">
        <v>269181818</v>
      </c>
      <c r="N41" s="294">
        <v>269181818</v>
      </c>
      <c r="O41" s="294">
        <v>26918182</v>
      </c>
      <c r="P41" s="294">
        <v>0</v>
      </c>
      <c r="Q41" s="294">
        <v>296100000</v>
      </c>
      <c r="R41" s="293">
        <v>274909091</v>
      </c>
      <c r="S41" s="294">
        <v>274909091</v>
      </c>
      <c r="T41" s="290" t="s">
        <v>12</v>
      </c>
      <c r="U41" s="290" t="s">
        <v>1334</v>
      </c>
      <c r="V41" s="290" t="s">
        <v>11</v>
      </c>
      <c r="W41" s="290" t="s">
        <v>9</v>
      </c>
      <c r="X41" s="290" t="s">
        <v>13</v>
      </c>
      <c r="Y41" s="204" t="s">
        <v>1312</v>
      </c>
      <c r="Z41" s="313">
        <f t="shared" si="0"/>
        <v>302400000.10000002</v>
      </c>
      <c r="AA41" s="314">
        <f>VLOOKUP(H41,'Dự thu chiết khấu'!$L$4:$AB$204,17,0)-Z41</f>
        <v>-0.10000002384185791</v>
      </c>
    </row>
    <row r="42" spans="1:27" ht="10.5" hidden="1" customHeight="1">
      <c r="A42" s="289">
        <v>46125</v>
      </c>
      <c r="B42" s="290" t="s">
        <v>8</v>
      </c>
      <c r="C42" s="291" t="s">
        <v>1056</v>
      </c>
      <c r="D42" s="291" t="s">
        <v>1056</v>
      </c>
      <c r="E42" s="290" t="s">
        <v>1422</v>
      </c>
      <c r="F42" s="290" t="s">
        <v>1057</v>
      </c>
      <c r="G42" s="290" t="s">
        <v>1423</v>
      </c>
      <c r="H42" s="204" t="str" cm="1">
        <f t="array" ref="H42">IFERROR(TRIM(LEFT(SUBSTITUTE(MID(G42,FIND("SK:",G42)+3,50),"-",REPT(" ",50)),50)),IFERROR(TRIM(LEFT(SUBSTITUTE(MID(J42,FIND("SK:",J42)+3,50),"-",REPT(" ",50)),50)),IFERROR(INDEX($H$6:$H$211,MATCH(1,(($I$6:$I$211=I42)*(ISNUMBER(SEARCH("SK:",$G$6:$G$211)))),0)),"")))</f>
        <v>RLLVFPNT4TH703161</v>
      </c>
      <c r="I42" s="290" t="s">
        <v>1424</v>
      </c>
      <c r="J42" s="290" t="s">
        <v>1423</v>
      </c>
      <c r="K42" s="290" t="s">
        <v>1313</v>
      </c>
      <c r="L42" s="292">
        <v>1</v>
      </c>
      <c r="M42" s="293">
        <v>629145455</v>
      </c>
      <c r="N42" s="294">
        <v>629145455</v>
      </c>
      <c r="O42" s="294">
        <v>62914545</v>
      </c>
      <c r="P42" s="294">
        <v>0</v>
      </c>
      <c r="Q42" s="294">
        <v>692060000</v>
      </c>
      <c r="R42" s="293">
        <v>653672727</v>
      </c>
      <c r="S42" s="294">
        <v>653672727</v>
      </c>
      <c r="T42" s="290" t="s">
        <v>12</v>
      </c>
      <c r="U42" s="290" t="s">
        <v>1314</v>
      </c>
      <c r="V42" s="290" t="s">
        <v>11</v>
      </c>
      <c r="W42" s="290" t="s">
        <v>9</v>
      </c>
      <c r="X42" s="290" t="s">
        <v>14</v>
      </c>
      <c r="Y42" s="204" t="s">
        <v>1312</v>
      </c>
      <c r="Z42" s="313">
        <f t="shared" si="0"/>
        <v>719039999.70000005</v>
      </c>
      <c r="AA42" s="314">
        <f>VLOOKUP(H42,'Dự thu chiết khấu'!$L$4:$AB$204,17,0)-Z42</f>
        <v>0.29999995231628418</v>
      </c>
    </row>
    <row r="43" spans="1:27" ht="10.5" hidden="1" customHeight="1">
      <c r="A43" s="289">
        <v>46125</v>
      </c>
      <c r="B43" s="290" t="s">
        <v>8</v>
      </c>
      <c r="C43" s="291" t="s">
        <v>1058</v>
      </c>
      <c r="D43" s="291" t="s">
        <v>1058</v>
      </c>
      <c r="E43" s="290" t="s">
        <v>1425</v>
      </c>
      <c r="F43" s="290" t="s">
        <v>1059</v>
      </c>
      <c r="G43" s="290" t="s">
        <v>1426</v>
      </c>
      <c r="H43" s="204" t="str" cm="1">
        <f t="array" ref="H43">IFERROR(TRIM(LEFT(SUBSTITUTE(MID(G43,FIND("SK:",G43)+3,50),"-",REPT(" ",50)),50)),IFERROR(TRIM(LEFT(SUBSTITUTE(MID(J43,FIND("SK:",J43)+3,50),"-",REPT(" ",50)),50)),IFERROR(INDEX($H$6:$H$211,MATCH(1,(($I$6:$I$211=I43)*(ISNUMBER(SEARCH("SK:",$G$6:$G$211)))),0)),"")))</f>
        <v>RLNVBL9KXTT708326</v>
      </c>
      <c r="I43" s="290" t="s">
        <v>1427</v>
      </c>
      <c r="J43" s="290" t="s">
        <v>1426</v>
      </c>
      <c r="K43" s="290" t="s">
        <v>1313</v>
      </c>
      <c r="L43" s="292">
        <v>1</v>
      </c>
      <c r="M43" s="293">
        <v>258072727</v>
      </c>
      <c r="N43" s="294">
        <v>258072727</v>
      </c>
      <c r="O43" s="294">
        <v>25807273</v>
      </c>
      <c r="P43" s="294">
        <v>0</v>
      </c>
      <c r="Q43" s="294">
        <v>283880000</v>
      </c>
      <c r="R43" s="293">
        <v>263563636</v>
      </c>
      <c r="S43" s="294">
        <v>263563636</v>
      </c>
      <c r="T43" s="290" t="s">
        <v>12</v>
      </c>
      <c r="U43" s="290" t="s">
        <v>1314</v>
      </c>
      <c r="V43" s="290" t="s">
        <v>11</v>
      </c>
      <c r="W43" s="290" t="s">
        <v>9</v>
      </c>
      <c r="X43" s="290" t="s">
        <v>15</v>
      </c>
      <c r="Y43" s="204" t="s">
        <v>1312</v>
      </c>
      <c r="Z43" s="313">
        <f t="shared" si="0"/>
        <v>289919999.60000002</v>
      </c>
      <c r="AA43" s="314">
        <f>VLOOKUP(H43,'Dự thu chiết khấu'!$L$4:$AB$204,17,0)-Z43</f>
        <v>0.39999997615814209</v>
      </c>
    </row>
    <row r="44" spans="1:27" ht="10.5" hidden="1" customHeight="1">
      <c r="A44" s="289">
        <v>46125</v>
      </c>
      <c r="B44" s="290" t="s">
        <v>8</v>
      </c>
      <c r="C44" s="291" t="s">
        <v>1060</v>
      </c>
      <c r="D44" s="291" t="s">
        <v>1060</v>
      </c>
      <c r="E44" s="290" t="s">
        <v>1428</v>
      </c>
      <c r="F44" s="290" t="s">
        <v>641</v>
      </c>
      <c r="G44" s="290" t="s">
        <v>1429</v>
      </c>
      <c r="H44" s="204" t="str" cm="1">
        <f t="array" ref="H44">IFERROR(TRIM(LEFT(SUBSTITUTE(MID(G44,FIND("SK:",G44)+3,50),"-",REPT(" ",50)),50)),IFERROR(TRIM(LEFT(SUBSTITUTE(MID(J44,FIND("SK:",J44)+3,50),"-",REPT(" ",50)),50)),IFERROR(INDEX($H$6:$H$211,MATCH(1,(($I$6:$I$211=I44)*(ISNUMBER(SEARCH("SK:",$G$6:$G$211)))),0)),"")))</f>
        <v>RLNVBL9K5ST716641</v>
      </c>
      <c r="I44" s="290" t="s">
        <v>1430</v>
      </c>
      <c r="J44" s="290" t="s">
        <v>1429</v>
      </c>
      <c r="K44" s="290" t="s">
        <v>1313</v>
      </c>
      <c r="L44" s="292">
        <v>1</v>
      </c>
      <c r="M44" s="293">
        <v>248545455</v>
      </c>
      <c r="N44" s="294">
        <v>248545455</v>
      </c>
      <c r="O44" s="294">
        <v>24854545</v>
      </c>
      <c r="P44" s="294">
        <v>0</v>
      </c>
      <c r="Q44" s="294">
        <v>273400000</v>
      </c>
      <c r="R44" s="293">
        <v>270545455</v>
      </c>
      <c r="S44" s="294">
        <v>270545455</v>
      </c>
      <c r="T44" s="290" t="s">
        <v>12</v>
      </c>
      <c r="U44" s="290" t="s">
        <v>1318</v>
      </c>
      <c r="V44" s="290" t="s">
        <v>11</v>
      </c>
      <c r="W44" s="290" t="s">
        <v>9</v>
      </c>
      <c r="X44" s="290" t="s">
        <v>10</v>
      </c>
      <c r="Y44" s="204" t="s">
        <v>1312</v>
      </c>
      <c r="Z44" s="313">
        <f t="shared" si="0"/>
        <v>297600000.5</v>
      </c>
      <c r="AA44" s="314">
        <f>VLOOKUP(H44,'Dự thu chiết khấu'!$L$4:$AB$204,17,0)-Z44</f>
        <v>-0.5</v>
      </c>
    </row>
    <row r="45" spans="1:27" ht="10.5" hidden="1" customHeight="1">
      <c r="A45" s="289">
        <v>46125</v>
      </c>
      <c r="B45" s="290" t="s">
        <v>8</v>
      </c>
      <c r="C45" s="291" t="s">
        <v>1061</v>
      </c>
      <c r="D45" s="291" t="s">
        <v>1061</v>
      </c>
      <c r="E45" s="290" t="s">
        <v>1431</v>
      </c>
      <c r="F45" s="290" t="s">
        <v>428</v>
      </c>
      <c r="G45" s="290" t="s">
        <v>1432</v>
      </c>
      <c r="H45" s="204" t="str" cm="1">
        <f t="array" ref="H45">IFERROR(TRIM(LEFT(SUBSTITUTE(MID(G45,FIND("SK:",G45)+3,50),"-",REPT(" ",50)),50)),IFERROR(TRIM(LEFT(SUBSTITUTE(MID(J45,FIND("SK:",J45)+3,50),"-",REPT(" ",50)),50)),IFERROR(INDEX($H$6:$H$211,MATCH(1,(($I$6:$I$211=I45)*(ISNUMBER(SEARCH("SK:",$G$6:$G$211)))),0)),"")))</f>
        <v>RLLVFPNTXTH743647</v>
      </c>
      <c r="I45" s="290" t="s">
        <v>1433</v>
      </c>
      <c r="J45" s="290" t="s">
        <v>1432</v>
      </c>
      <c r="K45" s="290" t="s">
        <v>1313</v>
      </c>
      <c r="L45" s="292">
        <v>1</v>
      </c>
      <c r="M45" s="293">
        <v>632781818</v>
      </c>
      <c r="N45" s="294">
        <v>632781818</v>
      </c>
      <c r="O45" s="294">
        <v>63278182</v>
      </c>
      <c r="P45" s="294">
        <v>0</v>
      </c>
      <c r="Q45" s="294">
        <v>696060000</v>
      </c>
      <c r="R45" s="293">
        <v>653672727</v>
      </c>
      <c r="S45" s="294">
        <v>653672727</v>
      </c>
      <c r="T45" s="290" t="s">
        <v>12</v>
      </c>
      <c r="U45" s="290" t="s">
        <v>1314</v>
      </c>
      <c r="V45" s="290" t="s">
        <v>11</v>
      </c>
      <c r="W45" s="290" t="s">
        <v>9</v>
      </c>
      <c r="X45" s="290" t="s">
        <v>14</v>
      </c>
      <c r="Y45" s="204" t="s">
        <v>1312</v>
      </c>
      <c r="Z45" s="313">
        <f t="shared" si="0"/>
        <v>719039999.70000005</v>
      </c>
      <c r="AA45" s="314">
        <f>VLOOKUP(H45,'Dự thu chiết khấu'!$L$4:$AB$204,17,0)-Z45</f>
        <v>0.29999995231628418</v>
      </c>
    </row>
    <row r="46" spans="1:27" ht="10.5" hidden="1" customHeight="1">
      <c r="A46" s="289">
        <v>46125</v>
      </c>
      <c r="B46" s="290" t="s">
        <v>8</v>
      </c>
      <c r="C46" s="291" t="s">
        <v>1062</v>
      </c>
      <c r="D46" s="291" t="s">
        <v>1062</v>
      </c>
      <c r="E46" s="290" t="s">
        <v>1434</v>
      </c>
      <c r="F46" s="290" t="s">
        <v>1063</v>
      </c>
      <c r="G46" s="290" t="s">
        <v>1435</v>
      </c>
      <c r="H46" s="204" t="str" cm="1">
        <f t="array" ref="H46">IFERROR(TRIM(LEFT(SUBSTITUTE(MID(G46,FIND("SK:",G46)+3,50),"-",REPT(" ",50)),50)),IFERROR(TRIM(LEFT(SUBSTITUTE(MID(J46,FIND("SK:",J46)+3,50),"-",REPT(" ",50)),50)),IFERROR(INDEX($H$6:$H$211,MATCH(1,(($I$6:$I$211=I46)*(ISNUMBER(SEARCH("SK:",$G$6:$G$211)))),0)),"")))</f>
        <v>RLNVBL9K2TT711981</v>
      </c>
      <c r="I46" s="290" t="s">
        <v>1436</v>
      </c>
      <c r="J46" s="290" t="s">
        <v>1435</v>
      </c>
      <c r="K46" s="290" t="s">
        <v>1313</v>
      </c>
      <c r="L46" s="292">
        <v>1</v>
      </c>
      <c r="M46" s="293">
        <v>266454545</v>
      </c>
      <c r="N46" s="294">
        <v>266454545</v>
      </c>
      <c r="O46" s="294">
        <v>26645455</v>
      </c>
      <c r="P46" s="294">
        <v>0</v>
      </c>
      <c r="Q46" s="294">
        <v>293100000</v>
      </c>
      <c r="R46" s="293">
        <v>274909091</v>
      </c>
      <c r="S46" s="294">
        <v>274909091</v>
      </c>
      <c r="T46" s="290" t="s">
        <v>12</v>
      </c>
      <c r="U46" s="290" t="s">
        <v>1314</v>
      </c>
      <c r="V46" s="290" t="s">
        <v>11</v>
      </c>
      <c r="W46" s="290" t="s">
        <v>9</v>
      </c>
      <c r="X46" s="290" t="s">
        <v>15</v>
      </c>
      <c r="Y46" s="204" t="s">
        <v>1312</v>
      </c>
      <c r="Z46" s="313">
        <f t="shared" si="0"/>
        <v>302400000.10000002</v>
      </c>
      <c r="AA46" s="314">
        <f>VLOOKUP(H46,'Dự thu chiết khấu'!$L$4:$AB$204,17,0)-Z46</f>
        <v>-0.10000002384185791</v>
      </c>
    </row>
    <row r="47" spans="1:27" ht="10.5" hidden="1" customHeight="1">
      <c r="A47" s="289">
        <v>46125</v>
      </c>
      <c r="B47" s="290" t="s">
        <v>8</v>
      </c>
      <c r="C47" s="291" t="s">
        <v>1064</v>
      </c>
      <c r="D47" s="291" t="s">
        <v>1064</v>
      </c>
      <c r="E47" s="290" t="s">
        <v>1437</v>
      </c>
      <c r="F47" s="290" t="s">
        <v>638</v>
      </c>
      <c r="G47" s="290" t="s">
        <v>1438</v>
      </c>
      <c r="H47" s="204" t="str" cm="1">
        <f t="array" ref="H47">IFERROR(TRIM(LEFT(SUBSTITUTE(MID(G47,FIND("SK:",G47)+3,50),"-",REPT(" ",50)),50)),IFERROR(TRIM(LEFT(SUBSTITUTE(MID(J47,FIND("SK:",J47)+3,50),"-",REPT(" ",50)),50)),IFERROR(INDEX($H$6:$H$211,MATCH(1,(($I$6:$I$211=I47)*(ISNUMBER(SEARCH("SK:",$G$6:$G$211)))),0)),"")))</f>
        <v>RLNVBL9K8TT712018</v>
      </c>
      <c r="I47" s="290" t="s">
        <v>1439</v>
      </c>
      <c r="J47" s="290" t="s">
        <v>1438</v>
      </c>
      <c r="K47" s="290" t="s">
        <v>1313</v>
      </c>
      <c r="L47" s="292">
        <v>1</v>
      </c>
      <c r="M47" s="293">
        <v>269181818</v>
      </c>
      <c r="N47" s="294">
        <v>269181818</v>
      </c>
      <c r="O47" s="294">
        <v>26918182</v>
      </c>
      <c r="P47" s="294">
        <v>0</v>
      </c>
      <c r="Q47" s="294">
        <v>296100000</v>
      </c>
      <c r="R47" s="293">
        <v>274909091</v>
      </c>
      <c r="S47" s="294">
        <v>274909091</v>
      </c>
      <c r="T47" s="290" t="s">
        <v>12</v>
      </c>
      <c r="U47" s="290" t="s">
        <v>1314</v>
      </c>
      <c r="V47" s="290" t="s">
        <v>11</v>
      </c>
      <c r="W47" s="290" t="s">
        <v>9</v>
      </c>
      <c r="X47" s="290" t="s">
        <v>10</v>
      </c>
      <c r="Y47" s="204" t="s">
        <v>1312</v>
      </c>
      <c r="Z47" s="313">
        <f t="shared" si="0"/>
        <v>302400000.10000002</v>
      </c>
      <c r="AA47" s="314">
        <f>VLOOKUP(H47,'Dự thu chiết khấu'!$L$4:$AB$204,17,0)-Z47</f>
        <v>-0.10000002384185791</v>
      </c>
    </row>
    <row r="48" spans="1:27" ht="10.5" hidden="1" customHeight="1">
      <c r="A48" s="289">
        <v>46125</v>
      </c>
      <c r="B48" s="290" t="s">
        <v>8</v>
      </c>
      <c r="C48" s="291" t="s">
        <v>1065</v>
      </c>
      <c r="D48" s="291" t="s">
        <v>1065</v>
      </c>
      <c r="E48" s="290" t="s">
        <v>1440</v>
      </c>
      <c r="F48" s="290" t="s">
        <v>1066</v>
      </c>
      <c r="G48" s="290" t="s">
        <v>1441</v>
      </c>
      <c r="H48" s="204" t="str" cm="1">
        <f t="array" ref="H48">IFERROR(TRIM(LEFT(SUBSTITUTE(MID(G48,FIND("SK:",G48)+3,50),"-",REPT(" ",50)),50)),IFERROR(TRIM(LEFT(SUBSTITUTE(MID(J48,FIND("SK:",J48)+3,50),"-",REPT(" ",50)),50)),IFERROR(INDEX($H$6:$H$211,MATCH(1,(($I$6:$I$211=I48)*(ISNUMBER(SEARCH("SK:",$G$6:$G$211)))),0)),"")))</f>
        <v>RLNV5JSEXTH735951</v>
      </c>
      <c r="I48" s="290" t="s">
        <v>1442</v>
      </c>
      <c r="J48" s="290" t="s">
        <v>1441</v>
      </c>
      <c r="K48" s="290" t="s">
        <v>1313</v>
      </c>
      <c r="L48" s="292">
        <v>1</v>
      </c>
      <c r="M48" s="293">
        <v>428009091</v>
      </c>
      <c r="N48" s="294">
        <v>428009091</v>
      </c>
      <c r="O48" s="294">
        <v>42800909</v>
      </c>
      <c r="P48" s="294">
        <v>0</v>
      </c>
      <c r="Q48" s="294">
        <v>470810000</v>
      </c>
      <c r="R48" s="293">
        <v>461672727</v>
      </c>
      <c r="S48" s="294">
        <v>461672727</v>
      </c>
      <c r="T48" s="290" t="s">
        <v>12</v>
      </c>
      <c r="U48" s="290" t="s">
        <v>1314</v>
      </c>
      <c r="V48" s="290" t="s">
        <v>11</v>
      </c>
      <c r="W48" s="290" t="s">
        <v>9</v>
      </c>
      <c r="X48" s="290" t="s">
        <v>15</v>
      </c>
      <c r="Y48" s="204" t="s">
        <v>1312</v>
      </c>
      <c r="Z48" s="313">
        <f t="shared" si="0"/>
        <v>507839999.70000005</v>
      </c>
      <c r="AA48" s="314">
        <f>VLOOKUP(H48,'Dự thu chiết khấu'!$L$4:$AB$204,17,0)-Z48</f>
        <v>0.29999995231628418</v>
      </c>
    </row>
    <row r="49" spans="1:27" ht="10.5" hidden="1" customHeight="1">
      <c r="A49" s="289">
        <v>46125</v>
      </c>
      <c r="B49" s="290" t="s">
        <v>8</v>
      </c>
      <c r="C49" s="291" t="s">
        <v>1166</v>
      </c>
      <c r="D49" s="291" t="s">
        <v>1166</v>
      </c>
      <c r="E49" s="290" t="s">
        <v>1443</v>
      </c>
      <c r="F49" s="290" t="s">
        <v>414</v>
      </c>
      <c r="G49" s="290" t="s">
        <v>1444</v>
      </c>
      <c r="H49" s="204" t="str" cm="1">
        <f t="array" ref="H49">IFERROR(TRIM(LEFT(SUBSTITUTE(MID(G49,FIND("SK:",G49)+3,50),"-",REPT(" ",50)),50)),IFERROR(TRIM(LEFT(SUBSTITUTE(MID(J49,FIND("SK:",J49)+3,50),"-",REPT(" ",50)),50)),IFERROR(INDEX($H$6:$H$211,MATCH(1,(($I$6:$I$211=I49)*(ISNUMBER(SEARCH("SK:",$G$6:$G$211)))),0)),"")))</f>
        <v>RLNV5JSEXTH736419</v>
      </c>
      <c r="I49" s="290" t="s">
        <v>1445</v>
      </c>
      <c r="J49" s="290" t="s">
        <v>1444</v>
      </c>
      <c r="K49" s="290" t="s">
        <v>1313</v>
      </c>
      <c r="L49" s="292">
        <v>1</v>
      </c>
      <c r="M49" s="293">
        <v>442963636</v>
      </c>
      <c r="N49" s="294">
        <v>442963636</v>
      </c>
      <c r="O49" s="294">
        <v>44296364</v>
      </c>
      <c r="P49" s="294">
        <v>0</v>
      </c>
      <c r="Q49" s="294">
        <v>487260000</v>
      </c>
      <c r="R49" s="293">
        <v>461672727</v>
      </c>
      <c r="S49" s="294">
        <v>461672727</v>
      </c>
      <c r="T49" s="290" t="s">
        <v>12</v>
      </c>
      <c r="U49" s="290" t="s">
        <v>1334</v>
      </c>
      <c r="V49" s="290" t="s">
        <v>11</v>
      </c>
      <c r="W49" s="290" t="s">
        <v>9</v>
      </c>
      <c r="X49" s="290" t="s">
        <v>13</v>
      </c>
      <c r="Y49" s="204" t="s">
        <v>1312</v>
      </c>
      <c r="Z49" s="313">
        <f t="shared" si="0"/>
        <v>507839999.70000005</v>
      </c>
      <c r="AA49" s="314">
        <f>VLOOKUP(H49,'Dự thu chiết khấu'!$L$4:$AB$204,17,0)-Z49</f>
        <v>0.29999995231628418</v>
      </c>
    </row>
    <row r="50" spans="1:27" ht="10.5" hidden="1" customHeight="1">
      <c r="A50" s="289">
        <v>46125</v>
      </c>
      <c r="B50" s="290" t="s">
        <v>8</v>
      </c>
      <c r="C50" s="291" t="s">
        <v>1067</v>
      </c>
      <c r="D50" s="291" t="s">
        <v>1067</v>
      </c>
      <c r="E50" s="290" t="s">
        <v>1446</v>
      </c>
      <c r="F50" s="290" t="s">
        <v>458</v>
      </c>
      <c r="G50" s="290" t="s">
        <v>1447</v>
      </c>
      <c r="H50" s="204" t="str" cm="1">
        <f t="array" ref="H50">IFERROR(TRIM(LEFT(SUBSTITUTE(MID(G50,FIND("SK:",G50)+3,50),"-",REPT(" ",50)),50)),IFERROR(TRIM(LEFT(SUBSTITUTE(MID(J50,FIND("SK:",J50)+3,50),"-",REPT(" ",50)),50)),IFERROR(INDEX($H$6:$H$211,MATCH(1,(($I$6:$I$211=I50)*(ISNUMBER(SEARCH("SK:",$G$6:$G$211)))),0)),"")))</f>
        <v>RNXVGRPK4TT712487</v>
      </c>
      <c r="I50" s="290" t="s">
        <v>1448</v>
      </c>
      <c r="J50" s="290" t="s">
        <v>1447</v>
      </c>
      <c r="K50" s="290" t="s">
        <v>1313</v>
      </c>
      <c r="L50" s="292">
        <v>1</v>
      </c>
      <c r="M50" s="293">
        <v>255181818</v>
      </c>
      <c r="N50" s="294">
        <v>255181818</v>
      </c>
      <c r="O50" s="294">
        <v>25518182</v>
      </c>
      <c r="P50" s="294">
        <v>0</v>
      </c>
      <c r="Q50" s="294">
        <v>280700000</v>
      </c>
      <c r="R50" s="293">
        <v>266181818</v>
      </c>
      <c r="S50" s="294">
        <v>266181818</v>
      </c>
      <c r="T50" s="290" t="s">
        <v>12</v>
      </c>
      <c r="U50" s="290" t="s">
        <v>1314</v>
      </c>
      <c r="V50" s="290" t="s">
        <v>11</v>
      </c>
      <c r="W50" s="290" t="s">
        <v>9</v>
      </c>
      <c r="X50" s="290" t="s">
        <v>16</v>
      </c>
      <c r="Y50" s="204" t="s">
        <v>1312</v>
      </c>
      <c r="Z50" s="313">
        <f t="shared" si="0"/>
        <v>292799999.80000001</v>
      </c>
      <c r="AA50" s="314">
        <f>VLOOKUP(H50,'Dự thu chiết khấu'!$L$4:$AB$204,17,0)-Z50</f>
        <v>0.19999998807907104</v>
      </c>
    </row>
    <row r="51" spans="1:27" ht="10.5" hidden="1" customHeight="1">
      <c r="A51" s="289">
        <v>46125</v>
      </c>
      <c r="B51" s="290" t="s">
        <v>8</v>
      </c>
      <c r="C51" s="291" t="s">
        <v>1068</v>
      </c>
      <c r="D51" s="291" t="s">
        <v>1068</v>
      </c>
      <c r="E51" s="290" t="s">
        <v>1449</v>
      </c>
      <c r="F51" s="290" t="s">
        <v>454</v>
      </c>
      <c r="G51" s="290" t="s">
        <v>1450</v>
      </c>
      <c r="H51" s="204" t="str" cm="1">
        <f t="array" ref="H51">IFERROR(TRIM(LEFT(SUBSTITUTE(MID(G51,FIND("SK:",G51)+3,50),"-",REPT(" ",50)),50)),IFERROR(TRIM(LEFT(SUBSTITUTE(MID(J51,FIND("SK:",J51)+3,50),"-",REPT(" ",50)),50)),IFERROR(INDEX($H$6:$H$211,MATCH(1,(($I$6:$I$211=I51)*(ISNUMBER(SEARCH("SK:",$G$6:$G$211)))),0)),"")))</f>
        <v>RLLVFPNTXTH742384</v>
      </c>
      <c r="I51" s="290" t="s">
        <v>1451</v>
      </c>
      <c r="J51" s="290" t="s">
        <v>1450</v>
      </c>
      <c r="K51" s="290" t="s">
        <v>1313</v>
      </c>
      <c r="L51" s="292">
        <v>1</v>
      </c>
      <c r="M51" s="293">
        <v>629145455</v>
      </c>
      <c r="N51" s="294">
        <v>629145455</v>
      </c>
      <c r="O51" s="294">
        <v>62914545</v>
      </c>
      <c r="P51" s="294">
        <v>0</v>
      </c>
      <c r="Q51" s="294">
        <v>692060000</v>
      </c>
      <c r="R51" s="293">
        <v>653672727</v>
      </c>
      <c r="S51" s="294">
        <v>653672727</v>
      </c>
      <c r="T51" s="290" t="s">
        <v>12</v>
      </c>
      <c r="U51" s="290" t="s">
        <v>1314</v>
      </c>
      <c r="V51" s="290" t="s">
        <v>11</v>
      </c>
      <c r="W51" s="290" t="s">
        <v>9</v>
      </c>
      <c r="X51" s="290" t="s">
        <v>16</v>
      </c>
      <c r="Y51" s="204" t="s">
        <v>1312</v>
      </c>
      <c r="Z51" s="313">
        <f t="shared" si="0"/>
        <v>719039999.70000005</v>
      </c>
      <c r="AA51" s="314">
        <f>VLOOKUP(H51,'Dự thu chiết khấu'!$L$4:$AB$204,17,0)-Z51</f>
        <v>0.29999995231628418</v>
      </c>
    </row>
    <row r="52" spans="1:27" ht="10.5" hidden="1" customHeight="1">
      <c r="A52" s="289">
        <v>46125</v>
      </c>
      <c r="B52" s="290" t="s">
        <v>8</v>
      </c>
      <c r="C52" s="291" t="s">
        <v>1069</v>
      </c>
      <c r="D52" s="291" t="s">
        <v>1069</v>
      </c>
      <c r="E52" s="290" t="s">
        <v>1452</v>
      </c>
      <c r="F52" s="290" t="s">
        <v>648</v>
      </c>
      <c r="G52" s="290" t="s">
        <v>1453</v>
      </c>
      <c r="H52" s="204" t="str" cm="1">
        <f t="array" ref="H52">IFERROR(TRIM(LEFT(SUBSTITUTE(MID(G52,FIND("SK:",G52)+3,50),"-",REPT(" ",50)),50)),IFERROR(TRIM(LEFT(SUBSTITUTE(MID(J52,FIND("SK:",J52)+3,50),"-",REPT(" ",50)),50)),IFERROR(INDEX($H$6:$H$211,MATCH(1,(($I$6:$I$211=I52)*(ISNUMBER(SEARCH("SK:",$G$6:$G$211)))),0)),"")))</f>
        <v>RLNV5JSE3TH739954</v>
      </c>
      <c r="I52" s="290" t="s">
        <v>1454</v>
      </c>
      <c r="J52" s="290" t="s">
        <v>1453</v>
      </c>
      <c r="K52" s="290" t="s">
        <v>1313</v>
      </c>
      <c r="L52" s="292">
        <v>1</v>
      </c>
      <c r="M52" s="293">
        <v>442963636</v>
      </c>
      <c r="N52" s="294">
        <v>442963636</v>
      </c>
      <c r="O52" s="294">
        <v>44296364</v>
      </c>
      <c r="P52" s="294">
        <v>0</v>
      </c>
      <c r="Q52" s="294">
        <v>487260000</v>
      </c>
      <c r="R52" s="293">
        <v>461672727</v>
      </c>
      <c r="S52" s="294">
        <v>461672727</v>
      </c>
      <c r="T52" s="290" t="s">
        <v>12</v>
      </c>
      <c r="U52" s="290" t="s">
        <v>1318</v>
      </c>
      <c r="V52" s="290" t="s">
        <v>11</v>
      </c>
      <c r="W52" s="290" t="s">
        <v>9</v>
      </c>
      <c r="X52" s="290" t="s">
        <v>10</v>
      </c>
      <c r="Y52" s="204" t="s">
        <v>1312</v>
      </c>
      <c r="Z52" s="313">
        <f t="shared" si="0"/>
        <v>507839999.70000005</v>
      </c>
      <c r="AA52" s="314">
        <f>VLOOKUP(H52,'Dự thu chiết khấu'!$L$4:$AB$204,17,0)-Z52</f>
        <v>0.29999995231628418</v>
      </c>
    </row>
    <row r="53" spans="1:27" ht="10.5" hidden="1" customHeight="1">
      <c r="A53" s="289">
        <v>46125</v>
      </c>
      <c r="B53" s="290" t="s">
        <v>8</v>
      </c>
      <c r="C53" s="291" t="s">
        <v>1167</v>
      </c>
      <c r="D53" s="291" t="s">
        <v>1167</v>
      </c>
      <c r="E53" s="290" t="s">
        <v>1455</v>
      </c>
      <c r="F53" s="290" t="s">
        <v>644</v>
      </c>
      <c r="G53" s="290" t="s">
        <v>1456</v>
      </c>
      <c r="H53" s="204" t="str" cm="1">
        <f t="array" ref="H53">IFERROR(TRIM(LEFT(SUBSTITUTE(MID(G53,FIND("SK:",G53)+3,50),"-",REPT(" ",50)),50)),IFERROR(TRIM(LEFT(SUBSTITUTE(MID(J53,FIND("SK:",J53)+3,50),"-",REPT(" ",50)),50)),IFERROR(INDEX($H$6:$H$211,MATCH(1,(($I$6:$I$211=I53)*(ISNUMBER(SEARCH("SK:",$G$6:$G$211)))),0)),"")))</f>
        <v>RLNVBL9K6TT710655</v>
      </c>
      <c r="I53" s="290" t="s">
        <v>1457</v>
      </c>
      <c r="J53" s="290" t="s">
        <v>1456</v>
      </c>
      <c r="K53" s="290" t="s">
        <v>1313</v>
      </c>
      <c r="L53" s="292">
        <v>1</v>
      </c>
      <c r="M53" s="293">
        <v>258072727</v>
      </c>
      <c r="N53" s="294">
        <v>258072727</v>
      </c>
      <c r="O53" s="294">
        <v>25807273</v>
      </c>
      <c r="P53" s="294">
        <v>0</v>
      </c>
      <c r="Q53" s="294">
        <v>283880000</v>
      </c>
      <c r="R53" s="293">
        <v>263563636</v>
      </c>
      <c r="S53" s="294">
        <v>263563636</v>
      </c>
      <c r="T53" s="290" t="s">
        <v>12</v>
      </c>
      <c r="U53" s="290" t="s">
        <v>1318</v>
      </c>
      <c r="V53" s="290" t="s">
        <v>11</v>
      </c>
      <c r="W53" s="290" t="s">
        <v>9</v>
      </c>
      <c r="X53" s="290" t="s">
        <v>10</v>
      </c>
      <c r="Y53" s="204" t="s">
        <v>1312</v>
      </c>
      <c r="Z53" s="313">
        <f t="shared" si="0"/>
        <v>289919999.60000002</v>
      </c>
      <c r="AA53" s="314">
        <f>VLOOKUP(H53,'Dự thu chiết khấu'!$L$4:$AB$204,17,0)-Z53</f>
        <v>0.39999997615814209</v>
      </c>
    </row>
    <row r="54" spans="1:27" ht="10.5" hidden="1" customHeight="1">
      <c r="A54" s="289">
        <v>46126</v>
      </c>
      <c r="B54" s="290" t="s">
        <v>8</v>
      </c>
      <c r="C54" s="291" t="s">
        <v>1458</v>
      </c>
      <c r="D54" s="291" t="s">
        <v>1312</v>
      </c>
      <c r="E54" s="290" t="s">
        <v>1446</v>
      </c>
      <c r="F54" s="290" t="s">
        <v>458</v>
      </c>
      <c r="G54" s="290" t="s">
        <v>1459</v>
      </c>
      <c r="H54" s="204" t="str" cm="1">
        <f t="array" ref="H54">IFERROR(TRIM(LEFT(SUBSTITUTE(MID(G54,FIND("SK:",G54)+3,50),"-",REPT(" ",50)),50)),IFERROR(TRIM(LEFT(SUBSTITUTE(MID(J54,FIND("SK:",J54)+3,50),"-",REPT(" ",50)),50)),IFERROR(INDEX($H$6:$H$211,MATCH(1,(($I$6:$I$211=I54)*(ISNUMBER(SEARCH("SK:",$G$6:$G$211)))),0)),"")))</f>
        <v>RNXVGRPK4TT712487</v>
      </c>
      <c r="I54" s="290" t="s">
        <v>1448</v>
      </c>
      <c r="J54" s="290" t="s">
        <v>1447</v>
      </c>
      <c r="K54" s="290" t="s">
        <v>1313</v>
      </c>
      <c r="L54" s="292">
        <v>0</v>
      </c>
      <c r="M54" s="293">
        <v>0</v>
      </c>
      <c r="N54" s="294">
        <v>5454545</v>
      </c>
      <c r="O54" s="294">
        <v>545455</v>
      </c>
      <c r="P54" s="294">
        <v>0</v>
      </c>
      <c r="Q54" s="294">
        <v>6000000</v>
      </c>
      <c r="R54" s="293">
        <v>0</v>
      </c>
      <c r="S54" s="294">
        <v>0</v>
      </c>
      <c r="T54" s="290" t="s">
        <v>12</v>
      </c>
      <c r="U54" s="290" t="s">
        <v>1314</v>
      </c>
      <c r="V54" s="290" t="s">
        <v>11</v>
      </c>
      <c r="W54" s="290" t="s">
        <v>9</v>
      </c>
      <c r="X54" s="290" t="s">
        <v>16</v>
      </c>
      <c r="Y54" s="204" t="s">
        <v>1312</v>
      </c>
      <c r="Z54" s="313">
        <f t="shared" si="0"/>
        <v>0</v>
      </c>
      <c r="AA54" s="314"/>
    </row>
    <row r="55" spans="1:27" ht="10.5" hidden="1" customHeight="1">
      <c r="A55" s="289">
        <v>46126</v>
      </c>
      <c r="B55" s="290" t="s">
        <v>8</v>
      </c>
      <c r="C55" s="291" t="s">
        <v>1070</v>
      </c>
      <c r="D55" s="291" t="s">
        <v>1070</v>
      </c>
      <c r="E55" s="290" t="s">
        <v>1460</v>
      </c>
      <c r="F55" s="290" t="s">
        <v>1071</v>
      </c>
      <c r="G55" s="290" t="s">
        <v>1461</v>
      </c>
      <c r="H55" s="204" t="str" cm="1">
        <f t="array" ref="H55">IFERROR(TRIM(LEFT(SUBSTITUTE(MID(G55,FIND("SK:",G55)+3,50),"-",REPT(" ",50)),50)),IFERROR(TRIM(LEFT(SUBSTITUTE(MID(J55,FIND("SK:",J55)+3,50),"-",REPT(" ",50)),50)),IFERROR(INDEX($H$6:$H$211,MATCH(1,(($I$6:$I$211=I55)*(ISNUMBER(SEARCH("SK:",$G$6:$G$211)))),0)),"")))</f>
        <v>RLLVFPNT7TH713005</v>
      </c>
      <c r="I55" s="290" t="s">
        <v>1462</v>
      </c>
      <c r="J55" s="290" t="s">
        <v>1461</v>
      </c>
      <c r="K55" s="290" t="s">
        <v>1313</v>
      </c>
      <c r="L55" s="292">
        <v>1</v>
      </c>
      <c r="M55" s="293">
        <v>629145455</v>
      </c>
      <c r="N55" s="294">
        <v>629145455</v>
      </c>
      <c r="O55" s="294">
        <v>62914545</v>
      </c>
      <c r="P55" s="294">
        <v>0</v>
      </c>
      <c r="Q55" s="294">
        <v>692060000</v>
      </c>
      <c r="R55" s="293">
        <v>653672727</v>
      </c>
      <c r="S55" s="294">
        <v>653672727</v>
      </c>
      <c r="T55" s="290" t="s">
        <v>12</v>
      </c>
      <c r="U55" s="290" t="s">
        <v>1314</v>
      </c>
      <c r="V55" s="290" t="s">
        <v>11</v>
      </c>
      <c r="W55" s="290" t="s">
        <v>9</v>
      </c>
      <c r="X55" s="290" t="s">
        <v>15</v>
      </c>
      <c r="Y55" s="204" t="s">
        <v>1312</v>
      </c>
      <c r="Z55" s="313">
        <f t="shared" si="0"/>
        <v>719039999.70000005</v>
      </c>
      <c r="AA55" s="314">
        <f>VLOOKUP(H55,'Dự thu chiết khấu'!$L$4:$AB$204,17,0)-Z55</f>
        <v>0.29999995231628418</v>
      </c>
    </row>
    <row r="56" spans="1:27" ht="10.5" hidden="1" customHeight="1">
      <c r="A56" s="289">
        <v>46126</v>
      </c>
      <c r="B56" s="290" t="s">
        <v>8</v>
      </c>
      <c r="C56" s="291" t="s">
        <v>1072</v>
      </c>
      <c r="D56" s="291" t="s">
        <v>1072</v>
      </c>
      <c r="E56" s="290" t="s">
        <v>1463</v>
      </c>
      <c r="F56" s="290" t="s">
        <v>1073</v>
      </c>
      <c r="G56" s="290" t="s">
        <v>1464</v>
      </c>
      <c r="H56" s="204" t="str" cm="1">
        <f t="array" ref="H56">IFERROR(TRIM(LEFT(SUBSTITUTE(MID(G56,FIND("SK:",G56)+3,50),"-",REPT(" ",50)),50)),IFERROR(TRIM(LEFT(SUBSTITUTE(MID(J56,FIND("SK:",J56)+3,50),"-",REPT(" ",50)),50)),IFERROR(INDEX($H$6:$H$211,MATCH(1,(($I$6:$I$211=I56)*(ISNUMBER(SEARCH("SK:",$G$6:$G$211)))),0)),"")))</f>
        <v>RLNV5JSEXTH735738</v>
      </c>
      <c r="I56" s="290" t="s">
        <v>1465</v>
      </c>
      <c r="J56" s="290" t="s">
        <v>1464</v>
      </c>
      <c r="K56" s="290" t="s">
        <v>1313</v>
      </c>
      <c r="L56" s="292">
        <v>1</v>
      </c>
      <c r="M56" s="293">
        <v>452054545</v>
      </c>
      <c r="N56" s="294">
        <v>452054545</v>
      </c>
      <c r="O56" s="294">
        <v>45205455</v>
      </c>
      <c r="P56" s="294">
        <v>0</v>
      </c>
      <c r="Q56" s="294">
        <v>497260000</v>
      </c>
      <c r="R56" s="293">
        <v>461672727</v>
      </c>
      <c r="S56" s="294">
        <v>461672727</v>
      </c>
      <c r="T56" s="290" t="s">
        <v>12</v>
      </c>
      <c r="U56" s="290" t="s">
        <v>1314</v>
      </c>
      <c r="V56" s="290" t="s">
        <v>11</v>
      </c>
      <c r="W56" s="290" t="s">
        <v>9</v>
      </c>
      <c r="X56" s="290" t="s">
        <v>14</v>
      </c>
      <c r="Y56" s="204" t="s">
        <v>1312</v>
      </c>
      <c r="Z56" s="313">
        <f t="shared" si="0"/>
        <v>507839999.70000005</v>
      </c>
      <c r="AA56" s="314">
        <f>VLOOKUP(H56,'Dự thu chiết khấu'!$L$4:$AB$204,17,0)-Z56</f>
        <v>0.29999995231628418</v>
      </c>
    </row>
    <row r="57" spans="1:27" ht="10.5" hidden="1" customHeight="1">
      <c r="A57" s="289">
        <v>46126</v>
      </c>
      <c r="B57" s="290" t="s">
        <v>8</v>
      </c>
      <c r="C57" s="291" t="s">
        <v>1074</v>
      </c>
      <c r="D57" s="291" t="s">
        <v>1074</v>
      </c>
      <c r="E57" s="290" t="s">
        <v>1466</v>
      </c>
      <c r="F57" s="290" t="s">
        <v>651</v>
      </c>
      <c r="G57" s="290" t="s">
        <v>1467</v>
      </c>
      <c r="H57" s="204" t="str" cm="1">
        <f t="array" ref="H57">IFERROR(TRIM(LEFT(SUBSTITUTE(MID(G57,FIND("SK:",G57)+3,50),"-",REPT(" ",50)),50)),IFERROR(TRIM(LEFT(SUBSTITUTE(MID(J57,FIND("SK:",J57)+3,50),"-",REPT(" ",50)),50)),IFERROR(INDEX($H$6:$H$211,MATCH(1,(($I$6:$I$211=I57)*(ISNUMBER(SEARCH("SK:",$G$6:$G$211)))),0)),"")))</f>
        <v>RLLVFPNT7TH702991</v>
      </c>
      <c r="I57" s="290" t="s">
        <v>1468</v>
      </c>
      <c r="J57" s="290" t="s">
        <v>1467</v>
      </c>
      <c r="K57" s="290" t="s">
        <v>1313</v>
      </c>
      <c r="L57" s="292">
        <v>1</v>
      </c>
      <c r="M57" s="293">
        <v>640054545</v>
      </c>
      <c r="N57" s="294">
        <v>640054545</v>
      </c>
      <c r="O57" s="294">
        <v>64005455</v>
      </c>
      <c r="P57" s="294">
        <v>0</v>
      </c>
      <c r="Q57" s="294">
        <v>704060000</v>
      </c>
      <c r="R57" s="293">
        <v>653672727</v>
      </c>
      <c r="S57" s="294">
        <v>653672727</v>
      </c>
      <c r="T57" s="290" t="s">
        <v>12</v>
      </c>
      <c r="U57" s="290" t="s">
        <v>1318</v>
      </c>
      <c r="V57" s="290" t="s">
        <v>11</v>
      </c>
      <c r="W57" s="290" t="s">
        <v>9</v>
      </c>
      <c r="X57" s="290" t="s">
        <v>10</v>
      </c>
      <c r="Y57" s="204" t="s">
        <v>1312</v>
      </c>
      <c r="Z57" s="313">
        <f t="shared" si="0"/>
        <v>719039999.70000005</v>
      </c>
      <c r="AA57" s="314">
        <f>VLOOKUP(H57,'Dự thu chiết khấu'!$L$4:$AB$204,17,0)-Z57</f>
        <v>0.29999995231628418</v>
      </c>
    </row>
    <row r="58" spans="1:27" ht="10.5" hidden="1" customHeight="1">
      <c r="A58" s="289">
        <v>46126</v>
      </c>
      <c r="B58" s="290" t="s">
        <v>8</v>
      </c>
      <c r="C58" s="291" t="s">
        <v>1075</v>
      </c>
      <c r="D58" s="291" t="s">
        <v>1075</v>
      </c>
      <c r="E58" s="290" t="s">
        <v>1469</v>
      </c>
      <c r="F58" s="290" t="s">
        <v>1076</v>
      </c>
      <c r="G58" s="290" t="s">
        <v>1470</v>
      </c>
      <c r="H58" s="204" t="str" cm="1">
        <f t="array" ref="H58">IFERROR(TRIM(LEFT(SUBSTITUTE(MID(G58,FIND("SK:",G58)+3,50),"-",REPT(" ",50)),50)),IFERROR(TRIM(LEFT(SUBSTITUTE(MID(J58,FIND("SK:",J58)+3,50),"-",REPT(" ",50)),50)),IFERROR(INDEX($H$6:$H$211,MATCH(1,(($I$6:$I$211=I58)*(ISNUMBER(SEARCH("SK:",$G$6:$G$211)))),0)),"")))</f>
        <v>RLNVBL9K8TT710186</v>
      </c>
      <c r="I58" s="290" t="s">
        <v>1471</v>
      </c>
      <c r="J58" s="290" t="s">
        <v>1470</v>
      </c>
      <c r="K58" s="290" t="s">
        <v>1313</v>
      </c>
      <c r="L58" s="292">
        <v>1</v>
      </c>
      <c r="M58" s="293">
        <v>263727273</v>
      </c>
      <c r="N58" s="294">
        <v>263727273</v>
      </c>
      <c r="O58" s="294">
        <v>26372727</v>
      </c>
      <c r="P58" s="294">
        <v>0</v>
      </c>
      <c r="Q58" s="294">
        <v>290100000</v>
      </c>
      <c r="R58" s="293">
        <v>274909091</v>
      </c>
      <c r="S58" s="294">
        <v>274909091</v>
      </c>
      <c r="T58" s="290" t="s">
        <v>12</v>
      </c>
      <c r="U58" s="290" t="s">
        <v>1314</v>
      </c>
      <c r="V58" s="290" t="s">
        <v>11</v>
      </c>
      <c r="W58" s="290" t="s">
        <v>9</v>
      </c>
      <c r="X58" s="290" t="s">
        <v>15</v>
      </c>
      <c r="Y58" s="204" t="s">
        <v>1312</v>
      </c>
      <c r="Z58" s="313">
        <f t="shared" si="0"/>
        <v>302400000.10000002</v>
      </c>
      <c r="AA58" s="314">
        <f>VLOOKUP(H58,'Dự thu chiết khấu'!$L$4:$AB$204,17,0)-Z58</f>
        <v>-0.10000002384185791</v>
      </c>
    </row>
    <row r="59" spans="1:27" ht="10.5" hidden="1" customHeight="1">
      <c r="A59" s="289">
        <v>46126</v>
      </c>
      <c r="B59" s="290" t="s">
        <v>8</v>
      </c>
      <c r="C59" s="291" t="s">
        <v>1168</v>
      </c>
      <c r="D59" s="291" t="s">
        <v>1168</v>
      </c>
      <c r="E59" s="290" t="s">
        <v>1472</v>
      </c>
      <c r="F59" s="290" t="s">
        <v>1169</v>
      </c>
      <c r="G59" s="290" t="s">
        <v>1473</v>
      </c>
      <c r="H59" s="204" t="str" cm="1">
        <f t="array" ref="H59">IFERROR(TRIM(LEFT(SUBSTITUTE(MID(G59,FIND("SK:",G59)+3,50),"-",REPT(" ",50)),50)),IFERROR(TRIM(LEFT(SUBSTITUTE(MID(J59,FIND("SK:",J59)+3,50),"-",REPT(" ",50)),50)),IFERROR(INDEX($H$6:$H$211,MATCH(1,(($I$6:$I$211=I59)*(ISNUMBER(SEARCH("SK:",$G$6:$G$211)))),0)),"")))</f>
        <v>RLNVBL9K9TT713372</v>
      </c>
      <c r="I59" s="290" t="s">
        <v>1474</v>
      </c>
      <c r="J59" s="290" t="s">
        <v>1473</v>
      </c>
      <c r="K59" s="290" t="s">
        <v>1313</v>
      </c>
      <c r="L59" s="292">
        <v>1</v>
      </c>
      <c r="M59" s="293">
        <v>263727273</v>
      </c>
      <c r="N59" s="294">
        <v>263727273</v>
      </c>
      <c r="O59" s="294">
        <v>26372727</v>
      </c>
      <c r="P59" s="294">
        <v>0</v>
      </c>
      <c r="Q59" s="294">
        <v>290100000</v>
      </c>
      <c r="R59" s="293">
        <v>274909091</v>
      </c>
      <c r="S59" s="294">
        <v>274909091</v>
      </c>
      <c r="T59" s="290" t="s">
        <v>12</v>
      </c>
      <c r="U59" s="290" t="s">
        <v>1314</v>
      </c>
      <c r="V59" s="290" t="s">
        <v>11</v>
      </c>
      <c r="W59" s="290" t="s">
        <v>9</v>
      </c>
      <c r="X59" s="290" t="s">
        <v>15</v>
      </c>
      <c r="Y59" s="204" t="s">
        <v>1312</v>
      </c>
      <c r="Z59" s="313">
        <f t="shared" si="0"/>
        <v>302400000.10000002</v>
      </c>
      <c r="AA59" s="314">
        <f>VLOOKUP(H59,'Dự thu chiết khấu'!$L$4:$AB$204,17,0)-Z59</f>
        <v>-0.10000002384185791</v>
      </c>
    </row>
    <row r="60" spans="1:27" ht="10.5" hidden="1" customHeight="1">
      <c r="A60" s="289">
        <v>46126</v>
      </c>
      <c r="B60" s="290" t="s">
        <v>8</v>
      </c>
      <c r="C60" s="291" t="s">
        <v>1170</v>
      </c>
      <c r="D60" s="291" t="s">
        <v>1170</v>
      </c>
      <c r="E60" s="290" t="s">
        <v>1475</v>
      </c>
      <c r="F60" s="290" t="s">
        <v>438</v>
      </c>
      <c r="G60" s="290" t="s">
        <v>1476</v>
      </c>
      <c r="H60" s="204" t="str" cm="1">
        <f t="array" ref="H60">IFERROR(TRIM(LEFT(SUBSTITUTE(MID(G60,FIND("SK:",G60)+3,50),"-",REPT(" ",50)),50)),IFERROR(TRIM(LEFT(SUBSTITUTE(MID(J60,FIND("SK:",J60)+3,50),"-",REPT(" ",50)),50)),IFERROR(INDEX($H$6:$H$211,MATCH(1,(($I$6:$I$211=I60)*(ISNUMBER(SEARCH("SK:",$G$6:$G$211)))),0)),"")))</f>
        <v>RLNVBL9K5TT712767</v>
      </c>
      <c r="I60" s="290" t="s">
        <v>1477</v>
      </c>
      <c r="J60" s="290" t="s">
        <v>1476</v>
      </c>
      <c r="K60" s="290" t="s">
        <v>1313</v>
      </c>
      <c r="L60" s="292">
        <v>1</v>
      </c>
      <c r="M60" s="293">
        <v>258072727</v>
      </c>
      <c r="N60" s="294">
        <v>258072727</v>
      </c>
      <c r="O60" s="294">
        <v>25807273</v>
      </c>
      <c r="P60" s="294">
        <v>0</v>
      </c>
      <c r="Q60" s="294">
        <v>283880000</v>
      </c>
      <c r="R60" s="293">
        <v>263563636</v>
      </c>
      <c r="S60" s="294">
        <v>263563636</v>
      </c>
      <c r="T60" s="290" t="s">
        <v>12</v>
      </c>
      <c r="U60" s="290" t="s">
        <v>1334</v>
      </c>
      <c r="V60" s="290" t="s">
        <v>11</v>
      </c>
      <c r="W60" s="290" t="s">
        <v>9</v>
      </c>
      <c r="X60" s="290" t="s">
        <v>13</v>
      </c>
      <c r="Y60" s="204" t="s">
        <v>1312</v>
      </c>
      <c r="Z60" s="313">
        <f t="shared" si="0"/>
        <v>289919999.60000002</v>
      </c>
      <c r="AA60" s="314">
        <f>VLOOKUP(H60,'Dự thu chiết khấu'!$L$4:$AB$204,17,0)-Z60</f>
        <v>0.39999997615814209</v>
      </c>
    </row>
    <row r="61" spans="1:27" ht="10.5" hidden="1" customHeight="1">
      <c r="A61" s="289">
        <v>46126</v>
      </c>
      <c r="B61" s="290" t="s">
        <v>8</v>
      </c>
      <c r="C61" s="291" t="s">
        <v>1077</v>
      </c>
      <c r="D61" s="291" t="s">
        <v>1077</v>
      </c>
      <c r="E61" s="290" t="s">
        <v>1478</v>
      </c>
      <c r="F61" s="290" t="s">
        <v>462</v>
      </c>
      <c r="G61" s="290" t="s">
        <v>1479</v>
      </c>
      <c r="H61" s="204" t="str" cm="1">
        <f t="array" ref="H61">IFERROR(TRIM(LEFT(SUBSTITUTE(MID(G61,FIND("SK:",G61)+3,50),"-",REPT(" ",50)),50)),IFERROR(TRIM(LEFT(SUBSTITUTE(MID(J61,FIND("SK:",J61)+3,50),"-",REPT(" ",50)),50)),IFERROR(INDEX($H$6:$H$211,MATCH(1,(($I$6:$I$211=I61)*(ISNUMBER(SEARCH("SK:",$G$6:$G$211)))),0)),"")))</f>
        <v>RLLVFPNT0TH720314</v>
      </c>
      <c r="I61" s="290" t="s">
        <v>1480</v>
      </c>
      <c r="J61" s="290" t="s">
        <v>1479</v>
      </c>
      <c r="K61" s="290" t="s">
        <v>1313</v>
      </c>
      <c r="L61" s="292">
        <v>1</v>
      </c>
      <c r="M61" s="293">
        <v>629145455</v>
      </c>
      <c r="N61" s="294">
        <v>629145455</v>
      </c>
      <c r="O61" s="294">
        <v>62914545</v>
      </c>
      <c r="P61" s="294">
        <v>0</v>
      </c>
      <c r="Q61" s="294">
        <v>692060000</v>
      </c>
      <c r="R61" s="293">
        <v>653672727</v>
      </c>
      <c r="S61" s="294">
        <v>653672727</v>
      </c>
      <c r="T61" s="290" t="s">
        <v>12</v>
      </c>
      <c r="U61" s="290" t="s">
        <v>1314</v>
      </c>
      <c r="V61" s="290" t="s">
        <v>11</v>
      </c>
      <c r="W61" s="290" t="s">
        <v>9</v>
      </c>
      <c r="X61" s="290" t="s">
        <v>16</v>
      </c>
      <c r="Y61" s="204" t="s">
        <v>1312</v>
      </c>
      <c r="Z61" s="313">
        <f t="shared" si="0"/>
        <v>719039999.70000005</v>
      </c>
      <c r="AA61" s="314">
        <f>VLOOKUP(H61,'Dự thu chiết khấu'!$L$4:$AB$204,17,0)-Z61</f>
        <v>0.29999995231628418</v>
      </c>
    </row>
    <row r="62" spans="1:27" ht="10.5" hidden="1" customHeight="1">
      <c r="A62" s="289">
        <v>46126</v>
      </c>
      <c r="B62" s="290" t="s">
        <v>8</v>
      </c>
      <c r="C62" s="291" t="s">
        <v>1078</v>
      </c>
      <c r="D62" s="291" t="s">
        <v>1078</v>
      </c>
      <c r="E62" s="290" t="s">
        <v>1481</v>
      </c>
      <c r="F62" s="290" t="s">
        <v>654</v>
      </c>
      <c r="G62" s="290" t="s">
        <v>1482</v>
      </c>
      <c r="H62" s="204" t="str" cm="1">
        <f t="array" ref="H62">IFERROR(TRIM(LEFT(SUBSTITUTE(MID(G62,FIND("SK:",G62)+3,50),"-",REPT(" ",50)),50)),IFERROR(TRIM(LEFT(SUBSTITUTE(MID(J62,FIND("SK:",J62)+3,50),"-",REPT(" ",50)),50)),IFERROR(INDEX($H$6:$H$211,MATCH(1,(($I$6:$I$211=I62)*(ISNUMBER(SEARCH("SK:",$G$6:$G$211)))),0)),"")))</f>
        <v>RLLVFPTT8TH723318</v>
      </c>
      <c r="I62" s="290" t="s">
        <v>1483</v>
      </c>
      <c r="J62" s="290" t="s">
        <v>1482</v>
      </c>
      <c r="K62" s="290" t="s">
        <v>1313</v>
      </c>
      <c r="L62" s="292">
        <v>1</v>
      </c>
      <c r="M62" s="293">
        <v>744545455</v>
      </c>
      <c r="N62" s="294">
        <v>744545455</v>
      </c>
      <c r="O62" s="294">
        <v>74454545</v>
      </c>
      <c r="P62" s="294">
        <v>0</v>
      </c>
      <c r="Q62" s="294">
        <v>819000000</v>
      </c>
      <c r="R62" s="293">
        <v>714763636</v>
      </c>
      <c r="S62" s="294">
        <v>714763636</v>
      </c>
      <c r="T62" s="290" t="s">
        <v>12</v>
      </c>
      <c r="U62" s="290" t="s">
        <v>1318</v>
      </c>
      <c r="V62" s="290" t="s">
        <v>11</v>
      </c>
      <c r="W62" s="290" t="s">
        <v>9</v>
      </c>
      <c r="X62" s="290" t="s">
        <v>10</v>
      </c>
      <c r="Y62" s="204" t="s">
        <v>1312</v>
      </c>
      <c r="Z62" s="313">
        <f t="shared" si="0"/>
        <v>786239999.60000002</v>
      </c>
      <c r="AA62" s="314">
        <f>VLOOKUP(H62,'Dự thu chiết khấu'!$L$4:$AB$204,17,0)-Z62</f>
        <v>0.39999997615814209</v>
      </c>
    </row>
    <row r="63" spans="1:27" ht="10.5" hidden="1" customHeight="1">
      <c r="A63" s="289">
        <v>46126</v>
      </c>
      <c r="B63" s="290" t="s">
        <v>8</v>
      </c>
      <c r="C63" s="291" t="s">
        <v>1079</v>
      </c>
      <c r="D63" s="291" t="s">
        <v>1079</v>
      </c>
      <c r="E63" s="290" t="s">
        <v>1484</v>
      </c>
      <c r="F63" s="290" t="s">
        <v>1080</v>
      </c>
      <c r="G63" s="290" t="s">
        <v>1485</v>
      </c>
      <c r="H63" s="204" t="str" cm="1">
        <f t="array" ref="H63">IFERROR(TRIM(LEFT(SUBSTITUTE(MID(G63,FIND("SK:",G63)+3,50),"-",REPT(" ",50)),50)),IFERROR(TRIM(LEFT(SUBSTITUTE(MID(J63,FIND("SK:",J63)+3,50),"-",REPT(" ",50)),50)),IFERROR(INDEX($H$6:$H$211,MATCH(1,(($I$6:$I$211=I63)*(ISNUMBER(SEARCH("SK:",$G$6:$G$211)))),0)),"")))</f>
        <v>RLLVFPNT3TH742839</v>
      </c>
      <c r="I63" s="290" t="s">
        <v>1486</v>
      </c>
      <c r="J63" s="290" t="s">
        <v>1485</v>
      </c>
      <c r="K63" s="290" t="s">
        <v>1313</v>
      </c>
      <c r="L63" s="292">
        <v>1</v>
      </c>
      <c r="M63" s="293">
        <v>619627273</v>
      </c>
      <c r="N63" s="294">
        <v>619627273</v>
      </c>
      <c r="O63" s="294">
        <v>61962727</v>
      </c>
      <c r="P63" s="294">
        <v>0</v>
      </c>
      <c r="Q63" s="294">
        <v>681590000</v>
      </c>
      <c r="R63" s="293">
        <v>653672727</v>
      </c>
      <c r="S63" s="294">
        <v>653672727</v>
      </c>
      <c r="T63" s="290" t="s">
        <v>12</v>
      </c>
      <c r="U63" s="290" t="s">
        <v>1314</v>
      </c>
      <c r="V63" s="290" t="s">
        <v>11</v>
      </c>
      <c r="W63" s="290" t="s">
        <v>9</v>
      </c>
      <c r="X63" s="290" t="s">
        <v>15</v>
      </c>
      <c r="Y63" s="204" t="s">
        <v>1312</v>
      </c>
      <c r="Z63" s="313">
        <f t="shared" si="0"/>
        <v>719039999.70000005</v>
      </c>
      <c r="AA63" s="314">
        <f>VLOOKUP(H63,'Dự thu chiết khấu'!$L$4:$AB$204,17,0)-Z63</f>
        <v>0.29999995231628418</v>
      </c>
    </row>
    <row r="64" spans="1:27" ht="10.5" hidden="1" customHeight="1">
      <c r="A64" s="289">
        <v>46127</v>
      </c>
      <c r="B64" s="290" t="s">
        <v>8</v>
      </c>
      <c r="C64" s="291" t="s">
        <v>1081</v>
      </c>
      <c r="D64" s="291" t="s">
        <v>1081</v>
      </c>
      <c r="E64" s="290" t="s">
        <v>1487</v>
      </c>
      <c r="F64" s="290" t="s">
        <v>435</v>
      </c>
      <c r="G64" s="290" t="s">
        <v>1488</v>
      </c>
      <c r="H64" s="204" t="str" cm="1">
        <f t="array" ref="H64">IFERROR(TRIM(LEFT(SUBSTITUTE(MID(G64,FIND("SK:",G64)+3,50),"-",REPT(" ",50)),50)),IFERROR(TRIM(LEFT(SUBSTITUTE(MID(J64,FIND("SK:",J64)+3,50),"-",REPT(" ",50)),50)),IFERROR(INDEX($H$6:$H$211,MATCH(1,(($I$6:$I$211=I64)*(ISNUMBER(SEARCH("SK:",$G$6:$G$211)))),0)),"")))</f>
        <v>RLNVBL9KXST716957</v>
      </c>
      <c r="I64" s="290" t="s">
        <v>1489</v>
      </c>
      <c r="J64" s="290" t="s">
        <v>1488</v>
      </c>
      <c r="K64" s="290" t="s">
        <v>1313</v>
      </c>
      <c r="L64" s="292">
        <v>1</v>
      </c>
      <c r="M64" s="293">
        <v>236363636</v>
      </c>
      <c r="N64" s="294">
        <v>236363636</v>
      </c>
      <c r="O64" s="294">
        <v>23636364</v>
      </c>
      <c r="P64" s="294">
        <v>0</v>
      </c>
      <c r="Q64" s="294">
        <v>260000000</v>
      </c>
      <c r="R64" s="293">
        <v>270545455</v>
      </c>
      <c r="S64" s="294">
        <v>270545455</v>
      </c>
      <c r="T64" s="290" t="s">
        <v>12</v>
      </c>
      <c r="U64" s="290" t="s">
        <v>1379</v>
      </c>
      <c r="V64" s="290" t="s">
        <v>11</v>
      </c>
      <c r="W64" s="290" t="s">
        <v>9</v>
      </c>
      <c r="X64" s="290" t="s">
        <v>13</v>
      </c>
      <c r="Y64" s="204" t="s">
        <v>1312</v>
      </c>
      <c r="Z64" s="313">
        <f t="shared" si="0"/>
        <v>297600000.5</v>
      </c>
      <c r="AA64" s="314">
        <f>VLOOKUP(H64,'Dự thu chiết khấu'!$L$4:$AB$204,17,0)-Z64</f>
        <v>-0.5</v>
      </c>
    </row>
    <row r="65" spans="1:27" ht="10.5" hidden="1" customHeight="1">
      <c r="A65" s="289">
        <v>46127</v>
      </c>
      <c r="B65" s="290" t="s">
        <v>8</v>
      </c>
      <c r="C65" s="291" t="s">
        <v>1171</v>
      </c>
      <c r="D65" s="291" t="s">
        <v>1171</v>
      </c>
      <c r="E65" s="290" t="s">
        <v>1490</v>
      </c>
      <c r="F65" s="290" t="s">
        <v>560</v>
      </c>
      <c r="G65" s="290" t="s">
        <v>1491</v>
      </c>
      <c r="H65" s="204" t="str" cm="1">
        <f t="array" ref="H65">IFERROR(TRIM(LEFT(SUBSTITUTE(MID(G65,FIND("SK:",G65)+3,50),"-",REPT(" ",50)),50)),IFERROR(TRIM(LEFT(SUBSTITUTE(MID(J65,FIND("SK:",J65)+3,50),"-",REPT(" ",50)),50)),IFERROR(INDEX($H$6:$H$211,MATCH(1,(($I$6:$I$211=I65)*(ISNUMBER(SEARCH("SK:",$G$6:$G$211)))),0)),"")))</f>
        <v>RLLVFPNT4TH711292</v>
      </c>
      <c r="I65" s="290" t="s">
        <v>1492</v>
      </c>
      <c r="J65" s="290" t="s">
        <v>1491</v>
      </c>
      <c r="K65" s="290" t="s">
        <v>1313</v>
      </c>
      <c r="L65" s="292">
        <v>1</v>
      </c>
      <c r="M65" s="293">
        <v>640054545</v>
      </c>
      <c r="N65" s="294">
        <v>640054545</v>
      </c>
      <c r="O65" s="294">
        <v>64005455</v>
      </c>
      <c r="P65" s="294">
        <v>0</v>
      </c>
      <c r="Q65" s="294">
        <v>704060000</v>
      </c>
      <c r="R65" s="293">
        <v>653672727</v>
      </c>
      <c r="S65" s="294">
        <v>653672727</v>
      </c>
      <c r="T65" s="290" t="s">
        <v>12</v>
      </c>
      <c r="U65" s="290" t="s">
        <v>1314</v>
      </c>
      <c r="V65" s="290" t="s">
        <v>11</v>
      </c>
      <c r="W65" s="290" t="s">
        <v>9</v>
      </c>
      <c r="X65" s="290" t="s">
        <v>16</v>
      </c>
      <c r="Y65" s="204" t="s">
        <v>1312</v>
      </c>
      <c r="Z65" s="313">
        <f t="shared" si="0"/>
        <v>719039999.70000005</v>
      </c>
      <c r="AA65" s="314">
        <f>VLOOKUP(H65,'Dự thu chiết khấu'!$L$4:$AB$204,17,0)-Z65</f>
        <v>0.29999995231628418</v>
      </c>
    </row>
    <row r="66" spans="1:27" ht="10.5" hidden="1" customHeight="1">
      <c r="A66" s="289">
        <v>46127</v>
      </c>
      <c r="B66" s="290" t="s">
        <v>8</v>
      </c>
      <c r="C66" s="291" t="s">
        <v>1172</v>
      </c>
      <c r="D66" s="291" t="s">
        <v>1172</v>
      </c>
      <c r="E66" s="290" t="s">
        <v>1493</v>
      </c>
      <c r="F66" s="290" t="s">
        <v>1173</v>
      </c>
      <c r="G66" s="290" t="s">
        <v>1494</v>
      </c>
      <c r="H66" s="204" t="str" cm="1">
        <f t="array" ref="H66">IFERROR(TRIM(LEFT(SUBSTITUTE(MID(G66,FIND("SK:",G66)+3,50),"-",REPT(" ",50)),50)),IFERROR(TRIM(LEFT(SUBSTITUTE(MID(J66,FIND("SK:",J66)+3,50),"-",REPT(" ",50)),50)),IFERROR(INDEX($H$6:$H$211,MATCH(1,(($I$6:$I$211=I66)*(ISNUMBER(SEARCH("SK:",$G$6:$G$211)))),0)),"")))</f>
        <v>RLLVFPNT7TH712291</v>
      </c>
      <c r="I66" s="290" t="s">
        <v>1495</v>
      </c>
      <c r="J66" s="290" t="s">
        <v>1494</v>
      </c>
      <c r="K66" s="290" t="s">
        <v>1313</v>
      </c>
      <c r="L66" s="292">
        <v>1</v>
      </c>
      <c r="M66" s="293">
        <v>630963636</v>
      </c>
      <c r="N66" s="294">
        <v>630963636</v>
      </c>
      <c r="O66" s="294">
        <v>63096364</v>
      </c>
      <c r="P66" s="294">
        <v>0</v>
      </c>
      <c r="Q66" s="294">
        <v>694060000</v>
      </c>
      <c r="R66" s="293">
        <v>653672727</v>
      </c>
      <c r="S66" s="294">
        <v>653672727</v>
      </c>
      <c r="T66" s="290" t="s">
        <v>12</v>
      </c>
      <c r="U66" s="290" t="s">
        <v>1314</v>
      </c>
      <c r="V66" s="290" t="s">
        <v>11</v>
      </c>
      <c r="W66" s="290" t="s">
        <v>9</v>
      </c>
      <c r="X66" s="290" t="s">
        <v>15</v>
      </c>
      <c r="Y66" s="204" t="s">
        <v>1312</v>
      </c>
      <c r="Z66" s="313">
        <f t="shared" si="0"/>
        <v>719039999.70000005</v>
      </c>
      <c r="AA66" s="314">
        <f>VLOOKUP(H66,'Dự thu chiết khấu'!$L$4:$AB$204,17,0)-Z66</f>
        <v>0.29999995231628418</v>
      </c>
    </row>
    <row r="67" spans="1:27" ht="10.5" hidden="1" customHeight="1">
      <c r="A67" s="289">
        <v>46127</v>
      </c>
      <c r="B67" s="290" t="s">
        <v>8</v>
      </c>
      <c r="C67" s="291" t="s">
        <v>1082</v>
      </c>
      <c r="D67" s="291" t="s">
        <v>1082</v>
      </c>
      <c r="E67" s="290" t="s">
        <v>22</v>
      </c>
      <c r="F67" s="290" t="s">
        <v>23</v>
      </c>
      <c r="G67" s="290" t="s">
        <v>1496</v>
      </c>
      <c r="H67" s="204" t="str" cm="1">
        <f t="array" ref="H67">IFERROR(TRIM(LEFT(SUBSTITUTE(MID(G67,FIND("SK:",G67)+3,50),"-",REPT(" ",50)),50)),IFERROR(TRIM(LEFT(SUBSTITUTE(MID(J67,FIND("SK:",J67)+3,50),"-",REPT(" ",50)),50)),IFERROR(INDEX($H$6:$H$211,MATCH(1,(($I$6:$I$211=I67)*(ISNUMBER(SEARCH("SK:",$G$6:$G$211)))),0)),"")))</f>
        <v>RLLVAG8C6TH736561</v>
      </c>
      <c r="I67" s="290" t="s">
        <v>1497</v>
      </c>
      <c r="J67" s="290" t="s">
        <v>1496</v>
      </c>
      <c r="K67" s="290" t="s">
        <v>1313</v>
      </c>
      <c r="L67" s="292">
        <v>1</v>
      </c>
      <c r="M67" s="293">
        <v>597982500</v>
      </c>
      <c r="N67" s="294">
        <v>597982500</v>
      </c>
      <c r="O67" s="294">
        <v>59798250</v>
      </c>
      <c r="P67" s="294">
        <v>0</v>
      </c>
      <c r="Q67" s="294">
        <v>657780750</v>
      </c>
      <c r="R67" s="293">
        <v>650181818</v>
      </c>
      <c r="S67" s="294">
        <v>650181818</v>
      </c>
      <c r="T67" s="290" t="s">
        <v>12</v>
      </c>
      <c r="U67" s="290" t="s">
        <v>1334</v>
      </c>
      <c r="V67" s="290" t="s">
        <v>11</v>
      </c>
      <c r="W67" s="290" t="s">
        <v>9</v>
      </c>
      <c r="X67" s="290" t="s">
        <v>13</v>
      </c>
      <c r="Y67" s="204" t="s">
        <v>1312</v>
      </c>
      <c r="Z67" s="313">
        <f t="shared" si="0"/>
        <v>715199999.80000007</v>
      </c>
      <c r="AA67" s="314">
        <f>VLOOKUP(H67,'Dự thu chiết khấu'!$L$4:$AB$204,17,0)-Z67</f>
        <v>0.19999992847442627</v>
      </c>
    </row>
    <row r="68" spans="1:27" ht="10.5" hidden="1" customHeight="1">
      <c r="A68" s="289">
        <v>46127</v>
      </c>
      <c r="B68" s="290" t="s">
        <v>8</v>
      </c>
      <c r="C68" s="291" t="s">
        <v>1174</v>
      </c>
      <c r="D68" s="291" t="s">
        <v>1174</v>
      </c>
      <c r="E68" s="290" t="s">
        <v>1498</v>
      </c>
      <c r="F68" s="290" t="s">
        <v>441</v>
      </c>
      <c r="G68" s="290" t="s">
        <v>1499</v>
      </c>
      <c r="H68" s="204" t="str" cm="1">
        <f t="array" ref="H68">IFERROR(TRIM(LEFT(SUBSTITUTE(MID(G68,FIND("SK:",G68)+3,50),"-",REPT(" ",50)),50)),IFERROR(TRIM(LEFT(SUBSTITUTE(MID(J68,FIND("SK:",J68)+3,50),"-",REPT(" ",50)),50)),IFERROR(INDEX($H$6:$H$211,MATCH(1,(($I$6:$I$211=I68)*(ISNUMBER(SEARCH("SK:",$G$6:$G$211)))),0)),"")))</f>
        <v>RLLVFPTT4TH724210</v>
      </c>
      <c r="I68" s="290" t="s">
        <v>1500</v>
      </c>
      <c r="J68" s="290" t="s">
        <v>1499</v>
      </c>
      <c r="K68" s="290" t="s">
        <v>1313</v>
      </c>
      <c r="L68" s="292">
        <v>1</v>
      </c>
      <c r="M68" s="293">
        <v>677536364</v>
      </c>
      <c r="N68" s="294">
        <v>677536364</v>
      </c>
      <c r="O68" s="294">
        <v>67753636</v>
      </c>
      <c r="P68" s="294">
        <v>0</v>
      </c>
      <c r="Q68" s="294">
        <v>745290000</v>
      </c>
      <c r="R68" s="293">
        <v>714763636</v>
      </c>
      <c r="S68" s="294">
        <v>714763636</v>
      </c>
      <c r="T68" s="290" t="s">
        <v>12</v>
      </c>
      <c r="U68" s="290" t="s">
        <v>1334</v>
      </c>
      <c r="V68" s="290" t="s">
        <v>11</v>
      </c>
      <c r="W68" s="290" t="s">
        <v>9</v>
      </c>
      <c r="X68" s="290" t="s">
        <v>13</v>
      </c>
      <c r="Y68" s="204" t="s">
        <v>1312</v>
      </c>
      <c r="Z68" s="313">
        <f t="shared" si="0"/>
        <v>786239999.60000002</v>
      </c>
      <c r="AA68" s="314">
        <f>VLOOKUP(H68,'Dự thu chiết khấu'!$L$4:$AB$204,17,0)-Z68</f>
        <v>0.39999997615814209</v>
      </c>
    </row>
    <row r="69" spans="1:27" ht="10.5" hidden="1" customHeight="1">
      <c r="A69" s="289">
        <v>46127</v>
      </c>
      <c r="B69" s="290" t="s">
        <v>8</v>
      </c>
      <c r="C69" s="291" t="s">
        <v>1175</v>
      </c>
      <c r="D69" s="291" t="s">
        <v>1175</v>
      </c>
      <c r="E69" s="290" t="s">
        <v>1501</v>
      </c>
      <c r="F69" s="290" t="s">
        <v>1176</v>
      </c>
      <c r="G69" s="290" t="s">
        <v>1502</v>
      </c>
      <c r="H69" s="204" t="str" cm="1">
        <f t="array" ref="H69">IFERROR(TRIM(LEFT(SUBSTITUTE(MID(G69,FIND("SK:",G69)+3,50),"-",REPT(" ",50)),50)),IFERROR(TRIM(LEFT(SUBSTITUTE(MID(J69,FIND("SK:",J69)+3,50),"-",REPT(" ",50)),50)),IFERROR(INDEX($H$6:$H$211,MATCH(1,(($I$6:$I$211=I69)*(ISNUMBER(SEARCH("SK:",$G$6:$G$211)))),0)),"")))</f>
        <v>RLLVFPNT2TH747241</v>
      </c>
      <c r="I69" s="290" t="s">
        <v>1503</v>
      </c>
      <c r="J69" s="290" t="s">
        <v>1502</v>
      </c>
      <c r="K69" s="290" t="s">
        <v>1313</v>
      </c>
      <c r="L69" s="292">
        <v>1</v>
      </c>
      <c r="M69" s="293">
        <v>637327273</v>
      </c>
      <c r="N69" s="294">
        <v>637327273</v>
      </c>
      <c r="O69" s="294">
        <v>63732727</v>
      </c>
      <c r="P69" s="294">
        <v>0</v>
      </c>
      <c r="Q69" s="294">
        <v>701060000</v>
      </c>
      <c r="R69" s="293">
        <v>653672727</v>
      </c>
      <c r="S69" s="294">
        <v>653672727</v>
      </c>
      <c r="T69" s="290" t="s">
        <v>12</v>
      </c>
      <c r="U69" s="290" t="s">
        <v>1314</v>
      </c>
      <c r="V69" s="290" t="s">
        <v>11</v>
      </c>
      <c r="W69" s="290" t="s">
        <v>9</v>
      </c>
      <c r="X69" s="290" t="s">
        <v>15</v>
      </c>
      <c r="Y69" s="204" t="s">
        <v>1312</v>
      </c>
      <c r="Z69" s="313">
        <f t="shared" si="0"/>
        <v>719039999.70000005</v>
      </c>
      <c r="AA69" s="314">
        <f>VLOOKUP(H69,'Dự thu chiết khấu'!$L$4:$AB$204,17,0)-Z69</f>
        <v>0.29999995231628418</v>
      </c>
    </row>
    <row r="70" spans="1:27" ht="10.5" hidden="1" customHeight="1">
      <c r="A70" s="289">
        <v>46127</v>
      </c>
      <c r="B70" s="290" t="s">
        <v>8</v>
      </c>
      <c r="C70" s="291" t="s">
        <v>1083</v>
      </c>
      <c r="D70" s="291" t="s">
        <v>1083</v>
      </c>
      <c r="E70" s="290" t="s">
        <v>1504</v>
      </c>
      <c r="F70" s="290" t="s">
        <v>657</v>
      </c>
      <c r="G70" s="290" t="s">
        <v>1505</v>
      </c>
      <c r="H70" s="204" t="str" cm="1">
        <f t="array" ref="H70">IFERROR(TRIM(LEFT(SUBSTITUTE(MID(G70,FIND("SK:",G70)+3,50),"-",REPT(" ",50)),50)),IFERROR(TRIM(LEFT(SUBSTITUTE(MID(J70,FIND("SK:",J70)+3,50),"-",REPT(" ",50)),50)),IFERROR(INDEX($H$6:$H$211,MATCH(1,(($I$6:$I$211=I70)*(ISNUMBER(SEARCH("SK:",$G$6:$G$211)))),0)),"")))</f>
        <v>RLNV5JSE3TH717324</v>
      </c>
      <c r="I70" s="290" t="s">
        <v>1506</v>
      </c>
      <c r="J70" s="290" t="s">
        <v>1505</v>
      </c>
      <c r="K70" s="290" t="s">
        <v>1313</v>
      </c>
      <c r="L70" s="292">
        <v>1</v>
      </c>
      <c r="M70" s="293">
        <v>457390909</v>
      </c>
      <c r="N70" s="294">
        <v>457390909</v>
      </c>
      <c r="O70" s="294">
        <v>45739091</v>
      </c>
      <c r="P70" s="294">
        <v>0</v>
      </c>
      <c r="Q70" s="294">
        <v>503130000</v>
      </c>
      <c r="R70" s="293">
        <v>461672727</v>
      </c>
      <c r="S70" s="294">
        <v>461672727</v>
      </c>
      <c r="T70" s="290" t="s">
        <v>12</v>
      </c>
      <c r="U70" s="290" t="s">
        <v>1318</v>
      </c>
      <c r="V70" s="290" t="s">
        <v>11</v>
      </c>
      <c r="W70" s="290" t="s">
        <v>9</v>
      </c>
      <c r="X70" s="290" t="s">
        <v>10</v>
      </c>
      <c r="Y70" s="204" t="s">
        <v>1312</v>
      </c>
      <c r="Z70" s="313">
        <f t="shared" si="0"/>
        <v>507839999.70000005</v>
      </c>
      <c r="AA70" s="314">
        <f>VLOOKUP(H70,'Dự thu chiết khấu'!$L$4:$AB$204,17,0)-Z70</f>
        <v>0.29999995231628418</v>
      </c>
    </row>
    <row r="71" spans="1:27" ht="10.5" hidden="1" customHeight="1">
      <c r="A71" s="289">
        <v>46127</v>
      </c>
      <c r="B71" s="290" t="s">
        <v>8</v>
      </c>
      <c r="C71" s="291" t="s">
        <v>1177</v>
      </c>
      <c r="D71" s="291" t="s">
        <v>1177</v>
      </c>
      <c r="E71" s="290" t="s">
        <v>1507</v>
      </c>
      <c r="F71" s="290" t="s">
        <v>124</v>
      </c>
      <c r="G71" s="290" t="s">
        <v>1508</v>
      </c>
      <c r="H71" s="204" t="str" cm="1">
        <f t="array" ref="H71">IFERROR(TRIM(LEFT(SUBSTITUTE(MID(G71,FIND("SK:",G71)+3,50),"-",REPT(" ",50)),50)),IFERROR(TRIM(LEFT(SUBSTITUTE(MID(J71,FIND("SK:",J71)+3,50),"-",REPT(" ",50)),50)),IFERROR(INDEX($H$6:$H$211,MATCH(1,(($I$6:$I$211=I71)*(ISNUMBER(SEARCH("SK:",$G$6:$G$211)))),0)),"")))</f>
        <v>RLLVFPTT1TH733771</v>
      </c>
      <c r="I71" s="290" t="s">
        <v>1509</v>
      </c>
      <c r="J71" s="290" t="s">
        <v>1508</v>
      </c>
      <c r="K71" s="290" t="s">
        <v>1313</v>
      </c>
      <c r="L71" s="292">
        <v>1</v>
      </c>
      <c r="M71" s="293">
        <v>668445455</v>
      </c>
      <c r="N71" s="294">
        <v>668445455</v>
      </c>
      <c r="O71" s="294">
        <v>66844545</v>
      </c>
      <c r="P71" s="294">
        <v>0</v>
      </c>
      <c r="Q71" s="294">
        <v>735290000</v>
      </c>
      <c r="R71" s="293">
        <v>714763636</v>
      </c>
      <c r="S71" s="294">
        <v>714763636</v>
      </c>
      <c r="T71" s="290" t="s">
        <v>12</v>
      </c>
      <c r="U71" s="290" t="s">
        <v>1318</v>
      </c>
      <c r="V71" s="290" t="s">
        <v>11</v>
      </c>
      <c r="W71" s="290" t="s">
        <v>9</v>
      </c>
      <c r="X71" s="290" t="s">
        <v>13</v>
      </c>
      <c r="Y71" s="204" t="s">
        <v>1312</v>
      </c>
      <c r="Z71" s="313">
        <f t="shared" ref="Z71:Z134" si="1">S71*1.1</f>
        <v>786239999.60000002</v>
      </c>
      <c r="AA71" s="314">
        <f>VLOOKUP(H71,'Dự thu chiết khấu'!$L$4:$AB$204,17,0)-Z71</f>
        <v>0.39999997615814209</v>
      </c>
    </row>
    <row r="72" spans="1:27" ht="10.5" hidden="1" customHeight="1">
      <c r="A72" s="289">
        <v>46128</v>
      </c>
      <c r="B72" s="290" t="s">
        <v>8</v>
      </c>
      <c r="C72" s="291" t="s">
        <v>1178</v>
      </c>
      <c r="D72" s="291" t="s">
        <v>1178</v>
      </c>
      <c r="E72" s="290" t="s">
        <v>1510</v>
      </c>
      <c r="F72" s="290" t="s">
        <v>447</v>
      </c>
      <c r="G72" s="290" t="s">
        <v>1511</v>
      </c>
      <c r="H72" s="204" t="str" cm="1">
        <f t="array" ref="H72">IFERROR(TRIM(LEFT(SUBSTITUTE(MID(G72,FIND("SK:",G72)+3,50),"-",REPT(" ",50)),50)),IFERROR(TRIM(LEFT(SUBSTITUTE(MID(J72,FIND("SK:",J72)+3,50),"-",REPT(" ",50)),50)),IFERROR(INDEX($H$6:$H$211,MATCH(1,(($I$6:$I$211=I72)*(ISNUMBER(SEARCH("SK:",$G$6:$G$211)))),0)),"")))</f>
        <v>RLNVBL9K3ST715634</v>
      </c>
      <c r="I72" s="290" t="s">
        <v>1512</v>
      </c>
      <c r="J72" s="290" t="s">
        <v>1511</v>
      </c>
      <c r="K72" s="290" t="s">
        <v>1313</v>
      </c>
      <c r="L72" s="292">
        <v>1</v>
      </c>
      <c r="M72" s="293">
        <v>240090909</v>
      </c>
      <c r="N72" s="294">
        <v>240090909</v>
      </c>
      <c r="O72" s="294">
        <v>24009091</v>
      </c>
      <c r="P72" s="294">
        <v>0</v>
      </c>
      <c r="Q72" s="294">
        <v>264100000</v>
      </c>
      <c r="R72" s="293">
        <v>270545455</v>
      </c>
      <c r="S72" s="294">
        <v>270545455</v>
      </c>
      <c r="T72" s="290" t="s">
        <v>12</v>
      </c>
      <c r="U72" s="290" t="s">
        <v>1334</v>
      </c>
      <c r="V72" s="290" t="s">
        <v>11</v>
      </c>
      <c r="W72" s="290" t="s">
        <v>9</v>
      </c>
      <c r="X72" s="290" t="s">
        <v>13</v>
      </c>
      <c r="Y72" s="204" t="s">
        <v>1312</v>
      </c>
      <c r="Z72" s="313">
        <f t="shared" si="1"/>
        <v>297600000.5</v>
      </c>
      <c r="AA72" s="314">
        <f>VLOOKUP(H72,'Dự thu chiết khấu'!$L$4:$AB$204,17,0)-Z72</f>
        <v>-0.5</v>
      </c>
    </row>
    <row r="73" spans="1:27" ht="10.5" hidden="1" customHeight="1">
      <c r="A73" s="289">
        <v>46128</v>
      </c>
      <c r="B73" s="290" t="s">
        <v>8</v>
      </c>
      <c r="C73" s="291" t="s">
        <v>1179</v>
      </c>
      <c r="D73" s="291" t="s">
        <v>1179</v>
      </c>
      <c r="E73" s="290" t="s">
        <v>1513</v>
      </c>
      <c r="F73" s="290" t="s">
        <v>1180</v>
      </c>
      <c r="G73" s="290" t="s">
        <v>1514</v>
      </c>
      <c r="H73" s="204" t="str" cm="1">
        <f t="array" ref="H73">IFERROR(TRIM(LEFT(SUBSTITUTE(MID(G73,FIND("SK:",G73)+3,50),"-",REPT(" ",50)),50)),IFERROR(TRIM(LEFT(SUBSTITUTE(MID(J73,FIND("SK:",J73)+3,50),"-",REPT(" ",50)),50)),IFERROR(INDEX($H$6:$H$211,MATCH(1,(($I$6:$I$211=I73)*(ISNUMBER(SEARCH("SK:",$G$6:$G$211)))),0)),"")))</f>
        <v>RLNVBL9K1TT701426</v>
      </c>
      <c r="I73" s="290" t="s">
        <v>1515</v>
      </c>
      <c r="J73" s="290" t="s">
        <v>1514</v>
      </c>
      <c r="K73" s="290" t="s">
        <v>1313</v>
      </c>
      <c r="L73" s="292">
        <v>1</v>
      </c>
      <c r="M73" s="293">
        <v>258072727</v>
      </c>
      <c r="N73" s="294">
        <v>258072727</v>
      </c>
      <c r="O73" s="294">
        <v>25807273</v>
      </c>
      <c r="P73" s="294">
        <v>0</v>
      </c>
      <c r="Q73" s="294">
        <v>283880000</v>
      </c>
      <c r="R73" s="293">
        <v>263563636</v>
      </c>
      <c r="S73" s="294">
        <v>263563636</v>
      </c>
      <c r="T73" s="290" t="s">
        <v>12</v>
      </c>
      <c r="U73" s="290" t="s">
        <v>1334</v>
      </c>
      <c r="V73" s="290" t="s">
        <v>11</v>
      </c>
      <c r="W73" s="290" t="s">
        <v>9</v>
      </c>
      <c r="X73" s="290" t="s">
        <v>13</v>
      </c>
      <c r="Y73" s="204" t="s">
        <v>1312</v>
      </c>
      <c r="Z73" s="313">
        <f t="shared" si="1"/>
        <v>289919999.60000002</v>
      </c>
      <c r="AA73" s="314">
        <f>VLOOKUP(H73,'Dự thu chiết khấu'!$L$4:$AB$204,17,0)-Z73</f>
        <v>0.39999997615814209</v>
      </c>
    </row>
    <row r="74" spans="1:27" ht="10.5" hidden="1" customHeight="1">
      <c r="A74" s="289">
        <v>46128</v>
      </c>
      <c r="B74" s="290" t="s">
        <v>8</v>
      </c>
      <c r="C74" s="291" t="s">
        <v>1181</v>
      </c>
      <c r="D74" s="291" t="s">
        <v>1181</v>
      </c>
      <c r="E74" s="290" t="s">
        <v>1516</v>
      </c>
      <c r="F74" s="290" t="s">
        <v>565</v>
      </c>
      <c r="G74" s="290" t="s">
        <v>1517</v>
      </c>
      <c r="H74" s="204" t="str" cm="1">
        <f t="array" ref="H74">IFERROR(TRIM(LEFT(SUBSTITUTE(MID(G74,FIND("SK:",G74)+3,50),"-",REPT(" ",50)),50)),IFERROR(TRIM(LEFT(SUBSTITUTE(MID(J74,FIND("SK:",J74)+3,50),"-",REPT(" ",50)),50)),IFERROR(INDEX($H$6:$H$211,MATCH(1,(($I$6:$I$211=I74)*(ISNUMBER(SEARCH("SK:",$G$6:$G$211)))),0)),"")))</f>
        <v>RLLVFPNT6TH714839</v>
      </c>
      <c r="I74" s="290" t="s">
        <v>1518</v>
      </c>
      <c r="J74" s="290" t="s">
        <v>1517</v>
      </c>
      <c r="K74" s="290" t="s">
        <v>1313</v>
      </c>
      <c r="L74" s="292">
        <v>1</v>
      </c>
      <c r="M74" s="293">
        <v>640054545</v>
      </c>
      <c r="N74" s="294">
        <v>640054545</v>
      </c>
      <c r="O74" s="294">
        <v>64005455</v>
      </c>
      <c r="P74" s="294">
        <v>0</v>
      </c>
      <c r="Q74" s="294">
        <v>704060000</v>
      </c>
      <c r="R74" s="293">
        <v>653672727</v>
      </c>
      <c r="S74" s="294">
        <v>653672727</v>
      </c>
      <c r="T74" s="290" t="s">
        <v>12</v>
      </c>
      <c r="U74" s="290" t="s">
        <v>1314</v>
      </c>
      <c r="V74" s="290" t="s">
        <v>11</v>
      </c>
      <c r="W74" s="290" t="s">
        <v>9</v>
      </c>
      <c r="X74" s="290" t="s">
        <v>16</v>
      </c>
      <c r="Y74" s="204" t="s">
        <v>1312</v>
      </c>
      <c r="Z74" s="313">
        <f t="shared" si="1"/>
        <v>719039999.70000005</v>
      </c>
      <c r="AA74" s="314">
        <f>VLOOKUP(H74,'Dự thu chiết khấu'!$L$4:$AB$204,17,0)-Z74</f>
        <v>0.29999995231628418</v>
      </c>
    </row>
    <row r="75" spans="1:27" ht="10.5" hidden="1" customHeight="1">
      <c r="A75" s="289">
        <v>46128</v>
      </c>
      <c r="B75" s="290" t="s">
        <v>8</v>
      </c>
      <c r="C75" s="291" t="s">
        <v>1084</v>
      </c>
      <c r="D75" s="291" t="s">
        <v>1084</v>
      </c>
      <c r="E75" s="290" t="s">
        <v>1519</v>
      </c>
      <c r="F75" s="290" t="s">
        <v>577</v>
      </c>
      <c r="G75" s="290" t="s">
        <v>1520</v>
      </c>
      <c r="H75" s="204" t="str" cm="1">
        <f t="array" ref="H75">IFERROR(TRIM(LEFT(SUBSTITUTE(MID(G75,FIND("SK:",G75)+3,50),"-",REPT(" ",50)),50)),IFERROR(TRIM(LEFT(SUBSTITUTE(MID(J75,FIND("SK:",J75)+3,50),"-",REPT(" ",50)),50)),IFERROR(INDEX($H$6:$H$211,MATCH(1,(($I$6:$I$211=I75)*(ISNUMBER(SEARCH("SK:",$G$6:$G$211)))),0)),"")))</f>
        <v>RLLVFPTT6TH731935</v>
      </c>
      <c r="I75" s="290" t="s">
        <v>1521</v>
      </c>
      <c r="J75" s="290" t="s">
        <v>1520</v>
      </c>
      <c r="K75" s="290" t="s">
        <v>1313</v>
      </c>
      <c r="L75" s="292">
        <v>1</v>
      </c>
      <c r="M75" s="293">
        <v>699872727</v>
      </c>
      <c r="N75" s="294">
        <v>699872727</v>
      </c>
      <c r="O75" s="294">
        <v>69987273</v>
      </c>
      <c r="P75" s="294">
        <v>0</v>
      </c>
      <c r="Q75" s="294">
        <v>769860000</v>
      </c>
      <c r="R75" s="293">
        <v>714763636</v>
      </c>
      <c r="S75" s="294">
        <v>714763636</v>
      </c>
      <c r="T75" s="290" t="s">
        <v>12</v>
      </c>
      <c r="U75" s="290" t="s">
        <v>1314</v>
      </c>
      <c r="V75" s="290" t="s">
        <v>11</v>
      </c>
      <c r="W75" s="290" t="s">
        <v>9</v>
      </c>
      <c r="X75" s="290" t="s">
        <v>16</v>
      </c>
      <c r="Y75" s="204" t="s">
        <v>1312</v>
      </c>
      <c r="Z75" s="313">
        <f t="shared" si="1"/>
        <v>786239999.60000002</v>
      </c>
      <c r="AA75" s="314">
        <f>VLOOKUP(H75,'Dự thu chiết khấu'!$L$4:$AB$204,17,0)-Z75</f>
        <v>0.39999997615814209</v>
      </c>
    </row>
    <row r="76" spans="1:27" ht="10.5" hidden="1" customHeight="1">
      <c r="A76" s="289">
        <v>46128</v>
      </c>
      <c r="B76" s="290" t="s">
        <v>8</v>
      </c>
      <c r="C76" s="291" t="s">
        <v>1182</v>
      </c>
      <c r="D76" s="291" t="s">
        <v>1182</v>
      </c>
      <c r="E76" s="290" t="s">
        <v>1522</v>
      </c>
      <c r="F76" s="290" t="s">
        <v>1183</v>
      </c>
      <c r="G76" s="290" t="s">
        <v>1523</v>
      </c>
      <c r="H76" s="204" t="str" cm="1">
        <f t="array" ref="H76">IFERROR(TRIM(LEFT(SUBSTITUTE(MID(G76,FIND("SK:",G76)+3,50),"-",REPT(" ",50)),50)),IFERROR(TRIM(LEFT(SUBSTITUTE(MID(J76,FIND("SK:",J76)+3,50),"-",REPT(" ",50)),50)),IFERROR(INDEX($H$6:$H$211,MATCH(1,(($I$6:$I$211=I76)*(ISNUMBER(SEARCH("SK:",$G$6:$G$211)))),0)),"")))</f>
        <v>RLLVFPTT8TH733752</v>
      </c>
      <c r="I76" s="290" t="s">
        <v>1524</v>
      </c>
      <c r="J76" s="290" t="s">
        <v>1523</v>
      </c>
      <c r="K76" s="290" t="s">
        <v>1313</v>
      </c>
      <c r="L76" s="292">
        <v>1</v>
      </c>
      <c r="M76" s="293">
        <v>640309091</v>
      </c>
      <c r="N76" s="294">
        <v>640309091</v>
      </c>
      <c r="O76" s="294">
        <v>64030909</v>
      </c>
      <c r="P76" s="294">
        <v>0</v>
      </c>
      <c r="Q76" s="294">
        <v>704340000</v>
      </c>
      <c r="R76" s="293">
        <v>714763636</v>
      </c>
      <c r="S76" s="294">
        <v>714763636</v>
      </c>
      <c r="T76" s="290" t="s">
        <v>12</v>
      </c>
      <c r="U76" s="290" t="s">
        <v>1314</v>
      </c>
      <c r="V76" s="290" t="s">
        <v>11</v>
      </c>
      <c r="W76" s="290" t="s">
        <v>9</v>
      </c>
      <c r="X76" s="290" t="s">
        <v>15</v>
      </c>
      <c r="Y76" s="204" t="s">
        <v>1312</v>
      </c>
      <c r="Z76" s="313">
        <f t="shared" si="1"/>
        <v>786239999.60000002</v>
      </c>
      <c r="AA76" s="314">
        <f>VLOOKUP(H76,'Dự thu chiết khấu'!$L$4:$AB$204,17,0)-Z76</f>
        <v>0.39999997615814209</v>
      </c>
    </row>
    <row r="77" spans="1:27" ht="10.5" hidden="1" customHeight="1">
      <c r="A77" s="289">
        <v>46128</v>
      </c>
      <c r="B77" s="290" t="s">
        <v>8</v>
      </c>
      <c r="C77" s="291" t="s">
        <v>1085</v>
      </c>
      <c r="D77" s="291" t="s">
        <v>1085</v>
      </c>
      <c r="E77" s="290" t="s">
        <v>1525</v>
      </c>
      <c r="F77" s="290" t="s">
        <v>1086</v>
      </c>
      <c r="G77" s="290" t="s">
        <v>1526</v>
      </c>
      <c r="H77" s="204" t="str" cm="1">
        <f t="array" ref="H77">IFERROR(TRIM(LEFT(SUBSTITUTE(MID(G77,FIND("SK:",G77)+3,50),"-",REPT(" ",50)),50)),IFERROR(TRIM(LEFT(SUBSTITUTE(MID(J77,FIND("SK:",J77)+3,50),"-",REPT(" ",50)),50)),IFERROR(INDEX($H$6:$H$211,MATCH(1,(($I$6:$I$211=I77)*(ISNUMBER(SEARCH("SK:",$G$6:$G$211)))),0)),"")))</f>
        <v>RLNVBL9K1TT712118</v>
      </c>
      <c r="I77" s="290" t="s">
        <v>1527</v>
      </c>
      <c r="J77" s="290" t="s">
        <v>1526</v>
      </c>
      <c r="K77" s="290" t="s">
        <v>1313</v>
      </c>
      <c r="L77" s="292">
        <v>1</v>
      </c>
      <c r="M77" s="293">
        <v>276018182</v>
      </c>
      <c r="N77" s="294">
        <v>276018182</v>
      </c>
      <c r="O77" s="294">
        <v>27601818</v>
      </c>
      <c r="P77" s="294">
        <v>0</v>
      </c>
      <c r="Q77" s="294">
        <v>303620000</v>
      </c>
      <c r="R77" s="293">
        <v>281890909</v>
      </c>
      <c r="S77" s="294">
        <v>281890909</v>
      </c>
      <c r="T77" s="290" t="s">
        <v>12</v>
      </c>
      <c r="U77" s="290" t="s">
        <v>1314</v>
      </c>
      <c r="V77" s="290" t="s">
        <v>11</v>
      </c>
      <c r="W77" s="290" t="s">
        <v>9</v>
      </c>
      <c r="X77" s="290" t="s">
        <v>15</v>
      </c>
      <c r="Y77" s="204" t="s">
        <v>1312</v>
      </c>
      <c r="Z77" s="313">
        <f t="shared" si="1"/>
        <v>310079999.90000004</v>
      </c>
      <c r="AA77" s="314">
        <f>VLOOKUP(H77,'Dự thu chiết khấu'!$L$4:$AB$204,17,0)-Z77</f>
        <v>9.9999964237213135E-2</v>
      </c>
    </row>
    <row r="78" spans="1:27" ht="10.5" hidden="1" customHeight="1">
      <c r="A78" s="289">
        <v>46128</v>
      </c>
      <c r="B78" s="290" t="s">
        <v>8</v>
      </c>
      <c r="C78" s="291" t="s">
        <v>1087</v>
      </c>
      <c r="D78" s="291" t="s">
        <v>1087</v>
      </c>
      <c r="E78" s="290" t="s">
        <v>1525</v>
      </c>
      <c r="F78" s="290" t="s">
        <v>1086</v>
      </c>
      <c r="G78" s="290" t="s">
        <v>1528</v>
      </c>
      <c r="H78" s="204" t="str" cm="1">
        <f t="array" ref="H78">IFERROR(TRIM(LEFT(SUBSTITUTE(MID(G78,FIND("SK:",G78)+3,50),"-",REPT(" ",50)),50)),IFERROR(TRIM(LEFT(SUBSTITUTE(MID(J78,FIND("SK:",J78)+3,50),"-",REPT(" ",50)),50)),IFERROR(INDEX($H$6:$H$211,MATCH(1,(($I$6:$I$211=I78)*(ISNUMBER(SEARCH("SK:",$G$6:$G$211)))),0)),"")))</f>
        <v>RLNVBL9K2TT709020</v>
      </c>
      <c r="I78" s="290" t="s">
        <v>1529</v>
      </c>
      <c r="J78" s="290" t="s">
        <v>1528</v>
      </c>
      <c r="K78" s="290" t="s">
        <v>1313</v>
      </c>
      <c r="L78" s="292">
        <v>1</v>
      </c>
      <c r="M78" s="293">
        <v>269181818</v>
      </c>
      <c r="N78" s="294">
        <v>269181818</v>
      </c>
      <c r="O78" s="294">
        <v>26918182</v>
      </c>
      <c r="P78" s="294">
        <v>0</v>
      </c>
      <c r="Q78" s="294">
        <v>296100000</v>
      </c>
      <c r="R78" s="293">
        <v>274909091</v>
      </c>
      <c r="S78" s="294">
        <v>274909091</v>
      </c>
      <c r="T78" s="290" t="s">
        <v>12</v>
      </c>
      <c r="U78" s="290" t="s">
        <v>1314</v>
      </c>
      <c r="V78" s="290" t="s">
        <v>11</v>
      </c>
      <c r="W78" s="290" t="s">
        <v>9</v>
      </c>
      <c r="X78" s="290" t="s">
        <v>15</v>
      </c>
      <c r="Y78" s="204" t="s">
        <v>1312</v>
      </c>
      <c r="Z78" s="313">
        <f t="shared" si="1"/>
        <v>302400000.10000002</v>
      </c>
      <c r="AA78" s="314">
        <f>VLOOKUP(H78,'Dự thu chiết khấu'!$L$4:$AB$204,17,0)-Z78</f>
        <v>-0.10000002384185791</v>
      </c>
    </row>
    <row r="79" spans="1:27" ht="10.5" hidden="1" customHeight="1">
      <c r="A79" s="289">
        <v>46128</v>
      </c>
      <c r="B79" s="290" t="s">
        <v>8</v>
      </c>
      <c r="C79" s="291" t="s">
        <v>1088</v>
      </c>
      <c r="D79" s="291" t="s">
        <v>1088</v>
      </c>
      <c r="E79" s="290" t="s">
        <v>1525</v>
      </c>
      <c r="F79" s="290" t="s">
        <v>1086</v>
      </c>
      <c r="G79" s="290" t="s">
        <v>1530</v>
      </c>
      <c r="H79" s="204" t="str" cm="1">
        <f t="array" ref="H79">IFERROR(TRIM(LEFT(SUBSTITUTE(MID(G79,FIND("SK:",G79)+3,50),"-",REPT(" ",50)),50)),IFERROR(TRIM(LEFT(SUBSTITUTE(MID(J79,FIND("SK:",J79)+3,50),"-",REPT(" ",50)),50)),IFERROR(INDEX($H$6:$H$211,MATCH(1,(($I$6:$I$211=I79)*(ISNUMBER(SEARCH("SK:",$G$6:$G$211)))),0)),"")))</f>
        <v>RLNVBL9K3TT711875</v>
      </c>
      <c r="I79" s="290" t="s">
        <v>1531</v>
      </c>
      <c r="J79" s="290" t="s">
        <v>1530</v>
      </c>
      <c r="K79" s="290" t="s">
        <v>1313</v>
      </c>
      <c r="L79" s="292">
        <v>1</v>
      </c>
      <c r="M79" s="293">
        <v>269181818</v>
      </c>
      <c r="N79" s="294">
        <v>269181818</v>
      </c>
      <c r="O79" s="294">
        <v>26918182</v>
      </c>
      <c r="P79" s="294">
        <v>0</v>
      </c>
      <c r="Q79" s="294">
        <v>296100000</v>
      </c>
      <c r="R79" s="293">
        <v>274909091</v>
      </c>
      <c r="S79" s="294">
        <v>274909091</v>
      </c>
      <c r="T79" s="290" t="s">
        <v>12</v>
      </c>
      <c r="U79" s="290" t="s">
        <v>1314</v>
      </c>
      <c r="V79" s="290" t="s">
        <v>11</v>
      </c>
      <c r="W79" s="290" t="s">
        <v>9</v>
      </c>
      <c r="X79" s="290" t="s">
        <v>15</v>
      </c>
      <c r="Y79" s="204" t="s">
        <v>1312</v>
      </c>
      <c r="Z79" s="313">
        <f t="shared" si="1"/>
        <v>302400000.10000002</v>
      </c>
      <c r="AA79" s="314">
        <f>VLOOKUP(H79,'Dự thu chiết khấu'!$L$4:$AB$204,17,0)-Z79</f>
        <v>-0.10000002384185791</v>
      </c>
    </row>
    <row r="80" spans="1:27" ht="10.5" hidden="1" customHeight="1">
      <c r="A80" s="289">
        <v>46129</v>
      </c>
      <c r="B80" s="290" t="s">
        <v>8</v>
      </c>
      <c r="C80" s="291" t="s">
        <v>1532</v>
      </c>
      <c r="D80" s="291" t="s">
        <v>1312</v>
      </c>
      <c r="E80" s="290" t="s">
        <v>31</v>
      </c>
      <c r="F80" s="290" t="s">
        <v>32</v>
      </c>
      <c r="G80" s="290" t="s">
        <v>1459</v>
      </c>
      <c r="H80" s="204" t="str" cm="1">
        <f t="array" ref="H80">IFERROR(TRIM(LEFT(SUBSTITUTE(MID(G80,FIND("SK:",G80)+3,50),"-",REPT(" ",50)),50)),IFERROR(TRIM(LEFT(SUBSTITUTE(MID(J80,FIND("SK:",J80)+3,50),"-",REPT(" ",50)),50)),IFERROR(INDEX($H$6:$H$211,MATCH(1,(($I$6:$I$211=I80)*(ISNUMBER(SEARCH("SK:",$G$6:$G$211)))),0)),"")))</f>
        <v>RLNV5JSE3TH702757</v>
      </c>
      <c r="I80" s="290" t="s">
        <v>1533</v>
      </c>
      <c r="J80" s="290" t="s">
        <v>33</v>
      </c>
      <c r="K80" s="290" t="s">
        <v>1313</v>
      </c>
      <c r="L80" s="292">
        <v>0</v>
      </c>
      <c r="M80" s="293">
        <v>0</v>
      </c>
      <c r="N80" s="294">
        <v>-6363636</v>
      </c>
      <c r="O80" s="294">
        <v>-636364</v>
      </c>
      <c r="P80" s="294">
        <v>0</v>
      </c>
      <c r="Q80" s="294">
        <v>-7000000</v>
      </c>
      <c r="R80" s="293">
        <v>0</v>
      </c>
      <c r="S80" s="294">
        <v>0</v>
      </c>
      <c r="T80" s="290" t="s">
        <v>12</v>
      </c>
      <c r="U80" s="290" t="s">
        <v>1334</v>
      </c>
      <c r="V80" s="290" t="s">
        <v>11</v>
      </c>
      <c r="W80" s="290" t="s">
        <v>9</v>
      </c>
      <c r="X80" s="290" t="s">
        <v>10</v>
      </c>
      <c r="Y80" s="204" t="s">
        <v>1312</v>
      </c>
      <c r="Z80" s="313">
        <f t="shared" si="1"/>
        <v>0</v>
      </c>
      <c r="AA80" s="314"/>
    </row>
    <row r="81" spans="1:27" ht="10.5" hidden="1" customHeight="1">
      <c r="A81" s="289">
        <v>46129</v>
      </c>
      <c r="B81" s="290" t="s">
        <v>8</v>
      </c>
      <c r="C81" s="291" t="s">
        <v>1089</v>
      </c>
      <c r="D81" s="291" t="s">
        <v>1089</v>
      </c>
      <c r="E81" s="290" t="s">
        <v>1534</v>
      </c>
      <c r="F81" s="290" t="s">
        <v>568</v>
      </c>
      <c r="G81" s="290" t="s">
        <v>1535</v>
      </c>
      <c r="H81" s="204" t="str" cm="1">
        <f t="array" ref="H81">IFERROR(TRIM(LEFT(SUBSTITUTE(MID(G81,FIND("SK:",G81)+3,50),"-",REPT(" ",50)),50)),IFERROR(TRIM(LEFT(SUBSTITUTE(MID(J81,FIND("SK:",J81)+3,50),"-",REPT(" ",50)),50)),IFERROR(INDEX($H$6:$H$211,MATCH(1,(($I$6:$I$211=I81)*(ISNUMBER(SEARCH("SK:",$G$6:$G$211)))),0)),"")))</f>
        <v>RLNVBL9K4TT713277</v>
      </c>
      <c r="I81" s="290" t="s">
        <v>1536</v>
      </c>
      <c r="J81" s="290" t="s">
        <v>1535</v>
      </c>
      <c r="K81" s="290" t="s">
        <v>1313</v>
      </c>
      <c r="L81" s="292">
        <v>1</v>
      </c>
      <c r="M81" s="293">
        <v>261754545</v>
      </c>
      <c r="N81" s="294">
        <v>261754545</v>
      </c>
      <c r="O81" s="294">
        <v>26175455</v>
      </c>
      <c r="P81" s="294">
        <v>0</v>
      </c>
      <c r="Q81" s="294">
        <v>287930000</v>
      </c>
      <c r="R81" s="293">
        <v>281890909</v>
      </c>
      <c r="S81" s="294">
        <v>281890909</v>
      </c>
      <c r="T81" s="290" t="s">
        <v>12</v>
      </c>
      <c r="U81" s="290" t="s">
        <v>1314</v>
      </c>
      <c r="V81" s="290" t="s">
        <v>11</v>
      </c>
      <c r="W81" s="290" t="s">
        <v>9</v>
      </c>
      <c r="X81" s="290" t="s">
        <v>16</v>
      </c>
      <c r="Y81" s="204" t="s">
        <v>1312</v>
      </c>
      <c r="Z81" s="313">
        <f t="shared" si="1"/>
        <v>310079999.90000004</v>
      </c>
      <c r="AA81" s="314">
        <f>VLOOKUP(H81,'Dự thu chiết khấu'!$L$4:$AB$204,17,0)-Z81</f>
        <v>9.9999964237213135E-2</v>
      </c>
    </row>
    <row r="82" spans="1:27" ht="10.5" hidden="1" customHeight="1">
      <c r="A82" s="289">
        <v>46129</v>
      </c>
      <c r="B82" s="290" t="s">
        <v>8</v>
      </c>
      <c r="C82" s="291" t="s">
        <v>1091</v>
      </c>
      <c r="D82" s="291" t="s">
        <v>1091</v>
      </c>
      <c r="E82" s="290" t="s">
        <v>1537</v>
      </c>
      <c r="F82" s="290" t="s">
        <v>471</v>
      </c>
      <c r="G82" s="290" t="s">
        <v>1538</v>
      </c>
      <c r="H82" s="204" t="str" cm="1">
        <f t="array" ref="H82">IFERROR(TRIM(LEFT(SUBSTITUTE(MID(G82,FIND("SK:",G82)+3,50),"-",REPT(" ",50)),50)),IFERROR(TRIM(LEFT(SUBSTITUTE(MID(J82,FIND("SK:",J82)+3,50),"-",REPT(" ",50)),50)),IFERROR(INDEX($H$6:$H$211,MATCH(1,(($I$6:$I$211=I82)*(ISNUMBER(SEARCH("SK:",$G$6:$G$211)))),0)),"")))</f>
        <v>RLLV3FKC6TH742051</v>
      </c>
      <c r="I82" s="290" t="s">
        <v>1539</v>
      </c>
      <c r="J82" s="290" t="s">
        <v>1538</v>
      </c>
      <c r="K82" s="290" t="s">
        <v>1313</v>
      </c>
      <c r="L82" s="292">
        <v>1</v>
      </c>
      <c r="M82" s="293">
        <v>719281818</v>
      </c>
      <c r="N82" s="294">
        <v>719281818</v>
      </c>
      <c r="O82" s="294">
        <v>71928182</v>
      </c>
      <c r="P82" s="294">
        <v>0</v>
      </c>
      <c r="Q82" s="294">
        <v>791210000</v>
      </c>
      <c r="R82" s="293">
        <v>771813636</v>
      </c>
      <c r="S82" s="294">
        <v>771813636</v>
      </c>
      <c r="T82" s="290" t="s">
        <v>12</v>
      </c>
      <c r="U82" s="290" t="s">
        <v>1314</v>
      </c>
      <c r="V82" s="290" t="s">
        <v>11</v>
      </c>
      <c r="W82" s="290" t="s">
        <v>9</v>
      </c>
      <c r="X82" s="290" t="s">
        <v>14</v>
      </c>
      <c r="Y82" s="204" t="s">
        <v>1312</v>
      </c>
      <c r="Z82" s="313">
        <f t="shared" si="1"/>
        <v>848994999.60000002</v>
      </c>
      <c r="AA82" s="314">
        <f>VLOOKUP(H82,'Dự thu chiết khấu'!$L$4:$AB$204,17,0)-Z82</f>
        <v>0.39999997615814209</v>
      </c>
    </row>
    <row r="83" spans="1:27" ht="10.5" hidden="1" customHeight="1">
      <c r="A83" s="289">
        <v>46129</v>
      </c>
      <c r="B83" s="290" t="s">
        <v>8</v>
      </c>
      <c r="C83" s="291" t="s">
        <v>1092</v>
      </c>
      <c r="D83" s="291" t="s">
        <v>1092</v>
      </c>
      <c r="E83" s="290" t="s">
        <v>1540</v>
      </c>
      <c r="F83" s="290" t="s">
        <v>1093</v>
      </c>
      <c r="G83" s="290" t="s">
        <v>1541</v>
      </c>
      <c r="H83" s="204" t="str" cm="1">
        <f t="array" ref="H83">IFERROR(TRIM(LEFT(SUBSTITUTE(MID(G83,FIND("SK:",G83)+3,50),"-",REPT(" ",50)),50)),IFERROR(TRIM(LEFT(SUBSTITUTE(MID(J83,FIND("SK:",J83)+3,50),"-",REPT(" ",50)),50)),IFERROR(INDEX($H$6:$H$211,MATCH(1,(($I$6:$I$211=I83)*(ISNUMBER(SEARCH("SK:",$G$6:$G$211)))),0)),"")))</f>
        <v>RLLV3F5D3TH727463</v>
      </c>
      <c r="I83" s="290" t="s">
        <v>1542</v>
      </c>
      <c r="J83" s="290" t="s">
        <v>1541</v>
      </c>
      <c r="K83" s="290" t="s">
        <v>1313</v>
      </c>
      <c r="L83" s="292">
        <v>1</v>
      </c>
      <c r="M83" s="293">
        <v>671544909</v>
      </c>
      <c r="N83" s="294">
        <v>671544909</v>
      </c>
      <c r="O83" s="294">
        <v>67154491</v>
      </c>
      <c r="P83" s="294">
        <v>0</v>
      </c>
      <c r="Q83" s="294">
        <v>738699400</v>
      </c>
      <c r="R83" s="293">
        <v>693677273</v>
      </c>
      <c r="S83" s="294">
        <v>693677273</v>
      </c>
      <c r="T83" s="290" t="s">
        <v>12</v>
      </c>
      <c r="U83" s="290" t="s">
        <v>1314</v>
      </c>
      <c r="V83" s="290" t="s">
        <v>11</v>
      </c>
      <c r="W83" s="290" t="s">
        <v>9</v>
      </c>
      <c r="X83" s="290" t="s">
        <v>15</v>
      </c>
      <c r="Y83" s="204" t="s">
        <v>1312</v>
      </c>
      <c r="Z83" s="313">
        <f t="shared" si="1"/>
        <v>763045000.30000007</v>
      </c>
      <c r="AA83" s="314">
        <f>VLOOKUP(H83,'Dự thu chiết khấu'!$L$4:$AB$204,17,0)-Z83</f>
        <v>-0.30000007152557373</v>
      </c>
    </row>
    <row r="84" spans="1:27" ht="10.5" hidden="1" customHeight="1">
      <c r="A84" s="289">
        <v>46129</v>
      </c>
      <c r="B84" s="290" t="s">
        <v>8</v>
      </c>
      <c r="C84" s="291" t="s">
        <v>1184</v>
      </c>
      <c r="D84" s="291" t="s">
        <v>1184</v>
      </c>
      <c r="E84" s="290" t="s">
        <v>1543</v>
      </c>
      <c r="F84" s="290" t="s">
        <v>467</v>
      </c>
      <c r="G84" s="290" t="s">
        <v>1544</v>
      </c>
      <c r="H84" s="204" t="str" cm="1">
        <f t="array" ref="H84">IFERROR(TRIM(LEFT(SUBSTITUTE(MID(G84,FIND("SK:",G84)+3,50),"-",REPT(" ",50)),50)),IFERROR(TRIM(LEFT(SUBSTITUTE(MID(J84,FIND("SK:",J84)+3,50),"-",REPT(" ",50)),50)),IFERROR(INDEX($H$6:$H$211,MATCH(1,(($I$6:$I$211=I84)*(ISNUMBER(SEARCH("SK:",$G$6:$G$211)))),0)),"")))</f>
        <v>RLLV3F5D1SH888618</v>
      </c>
      <c r="I84" s="290" t="s">
        <v>1545</v>
      </c>
      <c r="J84" s="290" t="s">
        <v>1544</v>
      </c>
      <c r="K84" s="290" t="s">
        <v>1313</v>
      </c>
      <c r="L84" s="292">
        <v>1</v>
      </c>
      <c r="M84" s="293">
        <v>601945455</v>
      </c>
      <c r="N84" s="294">
        <v>601945455</v>
      </c>
      <c r="O84" s="294">
        <v>60194545</v>
      </c>
      <c r="P84" s="294">
        <v>0</v>
      </c>
      <c r="Q84" s="294">
        <v>662140000</v>
      </c>
      <c r="R84" s="293">
        <v>693677273</v>
      </c>
      <c r="S84" s="294">
        <v>693677273</v>
      </c>
      <c r="T84" s="290" t="s">
        <v>12</v>
      </c>
      <c r="U84" s="290" t="s">
        <v>1334</v>
      </c>
      <c r="V84" s="290" t="s">
        <v>11</v>
      </c>
      <c r="W84" s="290" t="s">
        <v>9</v>
      </c>
      <c r="X84" s="290" t="s">
        <v>14</v>
      </c>
      <c r="Y84" s="204" t="s">
        <v>1312</v>
      </c>
      <c r="Z84" s="313">
        <f t="shared" si="1"/>
        <v>763045000.30000007</v>
      </c>
      <c r="AA84" s="314">
        <f>VLOOKUP(H84,'Dự thu chiết khấu'!$L$4:$AB$204,17,0)-Z84</f>
        <v>-0.30000007152557373</v>
      </c>
    </row>
    <row r="85" spans="1:27" ht="10.5" hidden="1" customHeight="1">
      <c r="A85" s="289">
        <v>46129</v>
      </c>
      <c r="B85" s="290" t="s">
        <v>8</v>
      </c>
      <c r="C85" s="291" t="s">
        <v>1185</v>
      </c>
      <c r="D85" s="291" t="s">
        <v>1185</v>
      </c>
      <c r="E85" s="290" t="s">
        <v>1546</v>
      </c>
      <c r="F85" s="290" t="s">
        <v>571</v>
      </c>
      <c r="G85" s="290" t="s">
        <v>1547</v>
      </c>
      <c r="H85" s="204" t="str" cm="1">
        <f t="array" ref="H85">IFERROR(TRIM(LEFT(SUBSTITUTE(MID(G85,FIND("SK:",G85)+3,50),"-",REPT(" ",50)),50)),IFERROR(TRIM(LEFT(SUBSTITUTE(MID(J85,FIND("SK:",J85)+3,50),"-",REPT(" ",50)),50)),IFERROR(INDEX($H$6:$H$211,MATCH(1,(($I$6:$I$211=I85)*(ISNUMBER(SEARCH("SK:",$G$6:$G$211)))),0)),"")))</f>
        <v>RLLVFPTT6TH732633</v>
      </c>
      <c r="I85" s="290" t="s">
        <v>1548</v>
      </c>
      <c r="J85" s="290" t="s">
        <v>1547</v>
      </c>
      <c r="K85" s="290" t="s">
        <v>1313</v>
      </c>
      <c r="L85" s="292">
        <v>1</v>
      </c>
      <c r="M85" s="293">
        <v>686236364</v>
      </c>
      <c r="N85" s="294">
        <v>686236364</v>
      </c>
      <c r="O85" s="294">
        <v>68623636</v>
      </c>
      <c r="P85" s="294">
        <v>0</v>
      </c>
      <c r="Q85" s="294">
        <v>754860000</v>
      </c>
      <c r="R85" s="293">
        <v>714763636</v>
      </c>
      <c r="S85" s="294">
        <v>714763636</v>
      </c>
      <c r="T85" s="290" t="s">
        <v>12</v>
      </c>
      <c r="U85" s="290" t="s">
        <v>1318</v>
      </c>
      <c r="V85" s="290" t="s">
        <v>11</v>
      </c>
      <c r="W85" s="290" t="s">
        <v>9</v>
      </c>
      <c r="X85" s="290" t="s">
        <v>16</v>
      </c>
      <c r="Y85" s="204" t="s">
        <v>1312</v>
      </c>
      <c r="Z85" s="313">
        <f t="shared" si="1"/>
        <v>786239999.60000002</v>
      </c>
      <c r="AA85" s="314">
        <f>VLOOKUP(H85,'Dự thu chiết khấu'!$L$4:$AB$204,17,0)-Z85</f>
        <v>0.39999997615814209</v>
      </c>
    </row>
    <row r="86" spans="1:27" ht="10.5" hidden="1" customHeight="1">
      <c r="A86" s="289">
        <v>46129</v>
      </c>
      <c r="B86" s="290" t="s">
        <v>8</v>
      </c>
      <c r="C86" s="291" t="s">
        <v>1094</v>
      </c>
      <c r="D86" s="291" t="s">
        <v>1094</v>
      </c>
      <c r="E86" s="290" t="s">
        <v>1549</v>
      </c>
      <c r="F86" s="290" t="s">
        <v>660</v>
      </c>
      <c r="G86" s="290" t="s">
        <v>1550</v>
      </c>
      <c r="H86" s="204" t="str" cm="1">
        <f t="array" ref="H86">IFERROR(TRIM(LEFT(SUBSTITUTE(MID(G86,FIND("SK:",G86)+3,50),"-",REPT(" ",50)),50)),IFERROR(TRIM(LEFT(SUBSTITUTE(MID(J86,FIND("SK:",J86)+3,50),"-",REPT(" ",50)),50)),IFERROR(INDEX($H$6:$H$211,MATCH(1,(($I$6:$I$211=I86)*(ISNUMBER(SEARCH("SK:",$G$6:$G$211)))),0)),"")))</f>
        <v>RLNVBL9K7TT709725</v>
      </c>
      <c r="I86" s="290" t="s">
        <v>1551</v>
      </c>
      <c r="J86" s="290" t="s">
        <v>1550</v>
      </c>
      <c r="K86" s="290" t="s">
        <v>1313</v>
      </c>
      <c r="L86" s="292">
        <v>1</v>
      </c>
      <c r="M86" s="293">
        <v>269181818</v>
      </c>
      <c r="N86" s="294">
        <v>269181818</v>
      </c>
      <c r="O86" s="294">
        <v>26918182</v>
      </c>
      <c r="P86" s="294">
        <v>0</v>
      </c>
      <c r="Q86" s="294">
        <v>296100000</v>
      </c>
      <c r="R86" s="293">
        <v>274909091</v>
      </c>
      <c r="S86" s="294">
        <v>274909091</v>
      </c>
      <c r="T86" s="290" t="s">
        <v>12</v>
      </c>
      <c r="U86" s="290" t="s">
        <v>1318</v>
      </c>
      <c r="V86" s="290" t="s">
        <v>11</v>
      </c>
      <c r="W86" s="290" t="s">
        <v>9</v>
      </c>
      <c r="X86" s="290" t="s">
        <v>10</v>
      </c>
      <c r="Y86" s="204" t="s">
        <v>1312</v>
      </c>
      <c r="Z86" s="313">
        <f t="shared" si="1"/>
        <v>302400000.10000002</v>
      </c>
      <c r="AA86" s="314">
        <f>VLOOKUP(H86,'Dự thu chiết khấu'!$L$4:$AB$204,17,0)-Z86</f>
        <v>-0.10000002384185791</v>
      </c>
    </row>
    <row r="87" spans="1:27" ht="10.5" hidden="1" customHeight="1">
      <c r="A87" s="289">
        <v>46129</v>
      </c>
      <c r="B87" s="290" t="s">
        <v>8</v>
      </c>
      <c r="C87" s="291" t="s">
        <v>1095</v>
      </c>
      <c r="D87" s="291" t="s">
        <v>1095</v>
      </c>
      <c r="E87" s="290" t="s">
        <v>1552</v>
      </c>
      <c r="F87" s="290" t="s">
        <v>1096</v>
      </c>
      <c r="G87" s="290" t="s">
        <v>1553</v>
      </c>
      <c r="H87" s="204" t="str" cm="1">
        <f t="array" ref="H87">IFERROR(TRIM(LEFT(SUBSTITUTE(MID(G87,FIND("SK:",G87)+3,50),"-",REPT(" ",50)),50)),IFERROR(TRIM(LEFT(SUBSTITUTE(MID(J87,FIND("SK:",J87)+3,50),"-",REPT(" ",50)),50)),IFERROR(INDEX($H$6:$H$211,MATCH(1,(($I$6:$I$211=I87)*(ISNUMBER(SEARCH("SK:",$G$6:$G$211)))),0)),"")))</f>
        <v>RLLVFPNT1TH743021</v>
      </c>
      <c r="I87" s="290" t="s">
        <v>1554</v>
      </c>
      <c r="J87" s="290" t="s">
        <v>1553</v>
      </c>
      <c r="K87" s="290" t="s">
        <v>1313</v>
      </c>
      <c r="L87" s="292">
        <v>1</v>
      </c>
      <c r="M87" s="293">
        <v>630963636</v>
      </c>
      <c r="N87" s="294">
        <v>630963636</v>
      </c>
      <c r="O87" s="294">
        <v>63096364</v>
      </c>
      <c r="P87" s="294">
        <v>0</v>
      </c>
      <c r="Q87" s="294">
        <v>694060000</v>
      </c>
      <c r="R87" s="293">
        <v>653672727</v>
      </c>
      <c r="S87" s="294">
        <v>653672727</v>
      </c>
      <c r="T87" s="290" t="s">
        <v>12</v>
      </c>
      <c r="U87" s="290" t="s">
        <v>1314</v>
      </c>
      <c r="V87" s="290" t="s">
        <v>11</v>
      </c>
      <c r="W87" s="290" t="s">
        <v>9</v>
      </c>
      <c r="X87" s="290" t="s">
        <v>15</v>
      </c>
      <c r="Y87" s="204" t="s">
        <v>1312</v>
      </c>
      <c r="Z87" s="313">
        <f t="shared" si="1"/>
        <v>719039999.70000005</v>
      </c>
      <c r="AA87" s="314">
        <f>VLOOKUP(H87,'Dự thu chiết khấu'!$L$4:$AB$204,17,0)-Z87</f>
        <v>0.29999995231628418</v>
      </c>
    </row>
    <row r="88" spans="1:27" ht="10.5" hidden="1" customHeight="1">
      <c r="A88" s="289">
        <v>46129</v>
      </c>
      <c r="B88" s="290" t="s">
        <v>8</v>
      </c>
      <c r="C88" s="291" t="s">
        <v>1097</v>
      </c>
      <c r="D88" s="291" t="s">
        <v>1097</v>
      </c>
      <c r="E88" s="290" t="s">
        <v>1555</v>
      </c>
      <c r="F88" s="290" t="s">
        <v>1098</v>
      </c>
      <c r="G88" s="290" t="s">
        <v>24</v>
      </c>
      <c r="H88" s="204" t="str" cm="1">
        <f t="array" ref="H88">IFERROR(TRIM(LEFT(SUBSTITUTE(MID(G88,FIND("SK:",G88)+3,50),"-",REPT(" ",50)),50)),IFERROR(TRIM(LEFT(SUBSTITUTE(MID(J88,FIND("SK:",J88)+3,50),"-",REPT(" ",50)),50)),IFERROR(INDEX($H$6:$H$211,MATCH(1,(($I$6:$I$211=I88)*(ISNUMBER(SEARCH("SK:",$G$6:$G$211)))),0)),"")))</f>
        <v>RLNVBL9K7ST716429</v>
      </c>
      <c r="I88" s="290" t="s">
        <v>1556</v>
      </c>
      <c r="J88" s="290" t="s">
        <v>24</v>
      </c>
      <c r="K88" s="290" t="s">
        <v>1313</v>
      </c>
      <c r="L88" s="292">
        <v>1</v>
      </c>
      <c r="M88" s="293">
        <v>240090909</v>
      </c>
      <c r="N88" s="294">
        <v>240090909</v>
      </c>
      <c r="O88" s="294">
        <v>24009091</v>
      </c>
      <c r="P88" s="294">
        <v>0</v>
      </c>
      <c r="Q88" s="294">
        <v>264100000</v>
      </c>
      <c r="R88" s="293">
        <v>270545455</v>
      </c>
      <c r="S88" s="294">
        <v>270545455</v>
      </c>
      <c r="T88" s="290" t="s">
        <v>12</v>
      </c>
      <c r="U88" s="290" t="s">
        <v>1314</v>
      </c>
      <c r="V88" s="290" t="s">
        <v>11</v>
      </c>
      <c r="W88" s="290" t="s">
        <v>9</v>
      </c>
      <c r="X88" s="290" t="s">
        <v>15</v>
      </c>
      <c r="Y88" s="204" t="s">
        <v>1312</v>
      </c>
      <c r="Z88" s="313">
        <f t="shared" si="1"/>
        <v>297600000.5</v>
      </c>
      <c r="AA88" s="314">
        <f>VLOOKUP(H88,'Dự thu chiết khấu'!$L$4:$AB$204,17,0)-Z88</f>
        <v>-0.5</v>
      </c>
    </row>
    <row r="89" spans="1:27" ht="10.5" hidden="1" customHeight="1">
      <c r="A89" s="289">
        <v>46129</v>
      </c>
      <c r="B89" s="290" t="s">
        <v>8</v>
      </c>
      <c r="C89" s="291" t="s">
        <v>1186</v>
      </c>
      <c r="D89" s="291" t="s">
        <v>1186</v>
      </c>
      <c r="E89" s="290" t="s">
        <v>1557</v>
      </c>
      <c r="F89" s="290" t="s">
        <v>550</v>
      </c>
      <c r="G89" s="290" t="s">
        <v>1558</v>
      </c>
      <c r="H89" s="204" t="str" cm="1">
        <f t="array" ref="H89">IFERROR(TRIM(LEFT(SUBSTITUTE(MID(G89,FIND("SK:",G89)+3,50),"-",REPT(" ",50)),50)),IFERROR(TRIM(LEFT(SUBSTITUTE(MID(J89,FIND("SK:",J89)+3,50),"-",REPT(" ",50)),50)),IFERROR(INDEX($H$6:$H$211,MATCH(1,(($I$6:$I$211=I89)*(ISNUMBER(SEARCH("SK:",$G$6:$G$211)))),0)),"")))</f>
        <v>RLNVBL9K3ST715648</v>
      </c>
      <c r="I89" s="290" t="s">
        <v>1559</v>
      </c>
      <c r="J89" s="290" t="s">
        <v>1558</v>
      </c>
      <c r="K89" s="290" t="s">
        <v>1313</v>
      </c>
      <c r="L89" s="292">
        <v>1</v>
      </c>
      <c r="M89" s="293">
        <v>240090909</v>
      </c>
      <c r="N89" s="294">
        <v>240090909</v>
      </c>
      <c r="O89" s="294">
        <v>24009091</v>
      </c>
      <c r="P89" s="294">
        <v>0</v>
      </c>
      <c r="Q89" s="294">
        <v>264100000</v>
      </c>
      <c r="R89" s="293">
        <v>270545455</v>
      </c>
      <c r="S89" s="294">
        <v>270545455</v>
      </c>
      <c r="T89" s="290" t="s">
        <v>12</v>
      </c>
      <c r="U89" s="290" t="s">
        <v>1334</v>
      </c>
      <c r="V89" s="290" t="s">
        <v>11</v>
      </c>
      <c r="W89" s="290" t="s">
        <v>9</v>
      </c>
      <c r="X89" s="290" t="s">
        <v>13</v>
      </c>
      <c r="Y89" s="204" t="s">
        <v>1312</v>
      </c>
      <c r="Z89" s="313">
        <f t="shared" si="1"/>
        <v>297600000.5</v>
      </c>
      <c r="AA89" s="314">
        <f>VLOOKUP(H89,'Dự thu chiết khấu'!$L$4:$AB$204,17,0)-Z89</f>
        <v>-0.5</v>
      </c>
    </row>
    <row r="90" spans="1:27" ht="10.5" hidden="1" customHeight="1">
      <c r="A90" s="289">
        <v>46129</v>
      </c>
      <c r="B90" s="290" t="s">
        <v>8</v>
      </c>
      <c r="C90" s="291" t="s">
        <v>1099</v>
      </c>
      <c r="D90" s="291" t="s">
        <v>1099</v>
      </c>
      <c r="E90" s="290" t="s">
        <v>1560</v>
      </c>
      <c r="F90" s="290" t="s">
        <v>663</v>
      </c>
      <c r="G90" s="290" t="s">
        <v>1561</v>
      </c>
      <c r="H90" s="204" t="str" cm="1">
        <f t="array" ref="H90">IFERROR(TRIM(LEFT(SUBSTITUTE(MID(G90,FIND("SK:",G90)+3,50),"-",REPT(" ",50)),50)),IFERROR(TRIM(LEFT(SUBSTITUTE(MID(J90,FIND("SK:",J90)+3,50),"-",REPT(" ",50)),50)),IFERROR(INDEX($H$6:$H$211,MATCH(1,(($I$6:$I$211=I90)*(ISNUMBER(SEARCH("SK:",$G$6:$G$211)))),0)),"")))</f>
        <v>RNXVGRPK7TT712466</v>
      </c>
      <c r="I90" s="290" t="s">
        <v>1562</v>
      </c>
      <c r="J90" s="290" t="s">
        <v>1561</v>
      </c>
      <c r="K90" s="290" t="s">
        <v>1313</v>
      </c>
      <c r="L90" s="292">
        <v>1</v>
      </c>
      <c r="M90" s="293">
        <v>260636364</v>
      </c>
      <c r="N90" s="294">
        <v>260636364</v>
      </c>
      <c r="O90" s="294">
        <v>26063636</v>
      </c>
      <c r="P90" s="294">
        <v>0</v>
      </c>
      <c r="Q90" s="294">
        <v>286700000</v>
      </c>
      <c r="R90" s="293">
        <v>266181818</v>
      </c>
      <c r="S90" s="294">
        <v>266181818</v>
      </c>
      <c r="T90" s="290" t="s">
        <v>12</v>
      </c>
      <c r="U90" s="290" t="s">
        <v>1318</v>
      </c>
      <c r="V90" s="290" t="s">
        <v>11</v>
      </c>
      <c r="W90" s="290" t="s">
        <v>9</v>
      </c>
      <c r="X90" s="290" t="s">
        <v>10</v>
      </c>
      <c r="Y90" s="204" t="s">
        <v>1312</v>
      </c>
      <c r="Z90" s="313">
        <f t="shared" si="1"/>
        <v>292799999.80000001</v>
      </c>
      <c r="AA90" s="314">
        <f>VLOOKUP(H90,'Dự thu chiết khấu'!$L$4:$AB$204,17,0)-Z90</f>
        <v>0.19999998807907104</v>
      </c>
    </row>
    <row r="91" spans="1:27" ht="10.5" hidden="1" customHeight="1">
      <c r="A91" s="289">
        <v>46129</v>
      </c>
      <c r="B91" s="290" t="s">
        <v>8</v>
      </c>
      <c r="C91" s="291" t="s">
        <v>1187</v>
      </c>
      <c r="D91" s="291" t="s">
        <v>1187</v>
      </c>
      <c r="E91" s="290" t="s">
        <v>1563</v>
      </c>
      <c r="F91" s="290" t="s">
        <v>553</v>
      </c>
      <c r="G91" s="290" t="s">
        <v>1564</v>
      </c>
      <c r="H91" s="204" t="str" cm="1">
        <f t="array" ref="H91">IFERROR(TRIM(LEFT(SUBSTITUTE(MID(G91,FIND("SK:",G91)+3,50),"-",REPT(" ",50)),50)),IFERROR(TRIM(LEFT(SUBSTITUTE(MID(J91,FIND("SK:",J91)+3,50),"-",REPT(" ",50)),50)),IFERROR(INDEX($H$6:$H$211,MATCH(1,(($I$6:$I$211=I91)*(ISNUMBER(SEARCH("SK:",$G$6:$G$211)))),0)),"")))</f>
        <v>RLNVBL9K5TT713711</v>
      </c>
      <c r="I91" s="290" t="s">
        <v>1565</v>
      </c>
      <c r="J91" s="290" t="s">
        <v>1564</v>
      </c>
      <c r="K91" s="290" t="s">
        <v>1313</v>
      </c>
      <c r="L91" s="292">
        <v>1</v>
      </c>
      <c r="M91" s="293">
        <v>263727273</v>
      </c>
      <c r="N91" s="294">
        <v>263727273</v>
      </c>
      <c r="O91" s="294">
        <v>26372727</v>
      </c>
      <c r="P91" s="294">
        <v>0</v>
      </c>
      <c r="Q91" s="294">
        <v>290100000</v>
      </c>
      <c r="R91" s="293">
        <v>274909091</v>
      </c>
      <c r="S91" s="294">
        <v>274909091</v>
      </c>
      <c r="T91" s="290" t="s">
        <v>12</v>
      </c>
      <c r="U91" s="290" t="s">
        <v>1318</v>
      </c>
      <c r="V91" s="290" t="s">
        <v>11</v>
      </c>
      <c r="W91" s="290" t="s">
        <v>9</v>
      </c>
      <c r="X91" s="290" t="s">
        <v>14</v>
      </c>
      <c r="Y91" s="204" t="s">
        <v>1312</v>
      </c>
      <c r="Z91" s="313">
        <f t="shared" si="1"/>
        <v>302400000.10000002</v>
      </c>
      <c r="AA91" s="314">
        <f>VLOOKUP(H91,'Dự thu chiết khấu'!$L$4:$AB$204,17,0)-Z91</f>
        <v>-0.10000002384185791</v>
      </c>
    </row>
    <row r="92" spans="1:27" ht="10.5" hidden="1" customHeight="1">
      <c r="A92" s="289">
        <v>46129</v>
      </c>
      <c r="B92" s="290" t="s">
        <v>8</v>
      </c>
      <c r="C92" s="291" t="s">
        <v>1100</v>
      </c>
      <c r="D92" s="291" t="s">
        <v>1100</v>
      </c>
      <c r="E92" s="290" t="s">
        <v>1566</v>
      </c>
      <c r="F92" s="290" t="s">
        <v>574</v>
      </c>
      <c r="G92" s="290" t="s">
        <v>1567</v>
      </c>
      <c r="H92" s="204" t="str" cm="1">
        <f t="array" ref="H92">IFERROR(TRIM(LEFT(SUBSTITUTE(MID(G92,FIND("SK:",G92)+3,50),"-",REPT(" ",50)),50)),IFERROR(TRIM(LEFT(SUBSTITUTE(MID(J92,FIND("SK:",J92)+3,50),"-",REPT(" ",50)),50)),IFERROR(INDEX($H$6:$H$211,MATCH(1,(($I$6:$I$211=I92)*(ISNUMBER(SEARCH("SK:",$G$6:$G$211)))),0)),"")))</f>
        <v>RLNVBL9K3TT714159</v>
      </c>
      <c r="I92" s="290" t="s">
        <v>1568</v>
      </c>
      <c r="J92" s="290" t="s">
        <v>1567</v>
      </c>
      <c r="K92" s="290" t="s">
        <v>1313</v>
      </c>
      <c r="L92" s="292">
        <v>1</v>
      </c>
      <c r="M92" s="293">
        <v>268636364</v>
      </c>
      <c r="N92" s="294">
        <v>268636364</v>
      </c>
      <c r="O92" s="294">
        <v>26863636</v>
      </c>
      <c r="P92" s="294">
        <v>0</v>
      </c>
      <c r="Q92" s="294">
        <v>295500000</v>
      </c>
      <c r="R92" s="293">
        <v>263563636</v>
      </c>
      <c r="S92" s="294">
        <v>263563636</v>
      </c>
      <c r="T92" s="290" t="s">
        <v>12</v>
      </c>
      <c r="U92" s="290" t="s">
        <v>1314</v>
      </c>
      <c r="V92" s="290" t="s">
        <v>11</v>
      </c>
      <c r="W92" s="290" t="s">
        <v>9</v>
      </c>
      <c r="X92" s="290" t="s">
        <v>16</v>
      </c>
      <c r="Y92" s="204" t="s">
        <v>1312</v>
      </c>
      <c r="Z92" s="313">
        <f t="shared" si="1"/>
        <v>289919999.60000002</v>
      </c>
      <c r="AA92" s="314">
        <f>VLOOKUP(H92,'Dự thu chiết khấu'!$L$4:$AB$204,17,0)-Z92</f>
        <v>0.39999997615814209</v>
      </c>
    </row>
    <row r="93" spans="1:27" ht="10.5" hidden="1" customHeight="1">
      <c r="A93" s="289">
        <v>46129</v>
      </c>
      <c r="B93" s="290" t="s">
        <v>8</v>
      </c>
      <c r="C93" s="291" t="s">
        <v>1101</v>
      </c>
      <c r="D93" s="291" t="s">
        <v>1101</v>
      </c>
      <c r="E93" s="290" t="s">
        <v>1569</v>
      </c>
      <c r="F93" s="290" t="s">
        <v>547</v>
      </c>
      <c r="G93" s="290" t="s">
        <v>1570</v>
      </c>
      <c r="H93" s="204" t="str" cm="1">
        <f t="array" ref="H93">IFERROR(TRIM(LEFT(SUBSTITUTE(MID(G93,FIND("SK:",G93)+3,50),"-",REPT(" ",50)),50)),IFERROR(TRIM(LEFT(SUBSTITUTE(MID(J93,FIND("SK:",J93)+3,50),"-",REPT(" ",50)),50)),IFERROR(INDEX($H$6:$H$211,MATCH(1,(($I$6:$I$211=I93)*(ISNUMBER(SEARCH("SK:",$G$6:$G$211)))),0)),"")))</f>
        <v>RLNV5JSE7TH736376</v>
      </c>
      <c r="I93" s="290" t="s">
        <v>1571</v>
      </c>
      <c r="J93" s="290" t="s">
        <v>1570</v>
      </c>
      <c r="K93" s="290" t="s">
        <v>1313</v>
      </c>
      <c r="L93" s="292">
        <v>1</v>
      </c>
      <c r="M93" s="293">
        <v>437627273</v>
      </c>
      <c r="N93" s="294">
        <v>437627273</v>
      </c>
      <c r="O93" s="294">
        <v>43762727</v>
      </c>
      <c r="P93" s="294">
        <v>0</v>
      </c>
      <c r="Q93" s="294">
        <v>481390000</v>
      </c>
      <c r="R93" s="293">
        <v>461672727</v>
      </c>
      <c r="S93" s="294">
        <v>461672727</v>
      </c>
      <c r="T93" s="290" t="s">
        <v>12</v>
      </c>
      <c r="U93" s="290" t="s">
        <v>1334</v>
      </c>
      <c r="V93" s="290" t="s">
        <v>11</v>
      </c>
      <c r="W93" s="290" t="s">
        <v>9</v>
      </c>
      <c r="X93" s="290" t="s">
        <v>13</v>
      </c>
      <c r="Y93" s="204" t="s">
        <v>1312</v>
      </c>
      <c r="Z93" s="313">
        <f t="shared" si="1"/>
        <v>507839999.70000005</v>
      </c>
      <c r="AA93" s="314">
        <f>VLOOKUP(H93,'Dự thu chiết khấu'!$L$4:$AB$204,17,0)-Z93</f>
        <v>0.29999995231628418</v>
      </c>
    </row>
    <row r="94" spans="1:27" ht="10.5" hidden="1" customHeight="1">
      <c r="A94" s="289">
        <v>46130</v>
      </c>
      <c r="B94" s="290" t="s">
        <v>8</v>
      </c>
      <c r="C94" s="291" t="s">
        <v>1572</v>
      </c>
      <c r="D94" s="291" t="s">
        <v>1572</v>
      </c>
      <c r="E94" s="290" t="s">
        <v>1573</v>
      </c>
      <c r="F94" s="290" t="s">
        <v>1574</v>
      </c>
      <c r="G94" s="290" t="s">
        <v>1575</v>
      </c>
      <c r="H94" s="204" t="str" cm="1">
        <f t="array" ref="H94">IFERROR(TRIM(LEFT(SUBSTITUTE(MID(G94,FIND("SK:",G94)+3,50),"-",REPT(" ",50)),50)),IFERROR(TRIM(LEFT(SUBSTITUTE(MID(J94,FIND("SK:",J94)+3,50),"-",REPT(" ",50)),50)),IFERROR(INDEX($H$6:$H$211,MATCH(1,(($I$6:$I$211=I94)*(ISNUMBER(SEARCH("SK:",$G$6:$G$211)))),0)),"")))</f>
        <v>RLLVAG8C6TH728220</v>
      </c>
      <c r="I94" s="290" t="s">
        <v>1576</v>
      </c>
      <c r="J94" s="290" t="s">
        <v>1575</v>
      </c>
      <c r="K94" s="290" t="s">
        <v>1313</v>
      </c>
      <c r="L94" s="292">
        <v>1</v>
      </c>
      <c r="M94" s="293">
        <v>636636364</v>
      </c>
      <c r="N94" s="294">
        <v>636636364</v>
      </c>
      <c r="O94" s="294">
        <v>63663636</v>
      </c>
      <c r="P94" s="294">
        <v>0</v>
      </c>
      <c r="Q94" s="294">
        <v>700300000</v>
      </c>
      <c r="R94" s="293">
        <v>650181818</v>
      </c>
      <c r="S94" s="294">
        <v>650181818</v>
      </c>
      <c r="T94" s="290" t="s">
        <v>12</v>
      </c>
      <c r="U94" s="290" t="s">
        <v>1314</v>
      </c>
      <c r="V94" s="290" t="s">
        <v>11</v>
      </c>
      <c r="W94" s="290" t="s">
        <v>9</v>
      </c>
      <c r="X94" s="290" t="s">
        <v>15</v>
      </c>
      <c r="Y94" s="204" t="s">
        <v>1312</v>
      </c>
      <c r="Z94" s="313">
        <f t="shared" si="1"/>
        <v>715199999.80000007</v>
      </c>
      <c r="AA94" s="314">
        <f>VLOOKUP(H94,'Dự thu chiết khấu'!$L$4:$AB$204,17,0)-Z94</f>
        <v>0.19999992847442627</v>
      </c>
    </row>
    <row r="95" spans="1:27" ht="10.5" hidden="1" customHeight="1">
      <c r="A95" s="289">
        <v>46130</v>
      </c>
      <c r="B95" s="290" t="s">
        <v>8</v>
      </c>
      <c r="C95" s="291" t="s">
        <v>1188</v>
      </c>
      <c r="D95" s="291" t="s">
        <v>1188</v>
      </c>
      <c r="E95" s="290" t="s">
        <v>1577</v>
      </c>
      <c r="F95" s="290" t="s">
        <v>1189</v>
      </c>
      <c r="G95" s="290" t="s">
        <v>1578</v>
      </c>
      <c r="H95" s="204" t="str" cm="1">
        <f t="array" ref="H95">IFERROR(TRIM(LEFT(SUBSTITUTE(MID(G95,FIND("SK:",G95)+3,50),"-",REPT(" ",50)),50)),IFERROR(TRIM(LEFT(SUBSTITUTE(MID(J95,FIND("SK:",J95)+3,50),"-",REPT(" ",50)),50)),IFERROR(INDEX($H$6:$H$211,MATCH(1,(($I$6:$I$211=I95)*(ISNUMBER(SEARCH("SK:",$G$6:$G$211)))),0)),"")))</f>
        <v>RLLVAGND3TH707970</v>
      </c>
      <c r="I95" s="290" t="s">
        <v>1579</v>
      </c>
      <c r="J95" s="290" t="s">
        <v>1578</v>
      </c>
      <c r="K95" s="290" t="s">
        <v>1313</v>
      </c>
      <c r="L95" s="292">
        <v>1</v>
      </c>
      <c r="M95" s="293">
        <v>563936364</v>
      </c>
      <c r="N95" s="294">
        <v>563936364</v>
      </c>
      <c r="O95" s="294">
        <v>56393636</v>
      </c>
      <c r="P95" s="294">
        <v>0</v>
      </c>
      <c r="Q95" s="294">
        <v>620330000</v>
      </c>
      <c r="R95" s="293">
        <v>608290909</v>
      </c>
      <c r="S95" s="294">
        <v>608290909</v>
      </c>
      <c r="T95" s="290" t="s">
        <v>12</v>
      </c>
      <c r="U95" s="290" t="s">
        <v>1314</v>
      </c>
      <c r="V95" s="290" t="s">
        <v>11</v>
      </c>
      <c r="W95" s="290" t="s">
        <v>9</v>
      </c>
      <c r="X95" s="290" t="s">
        <v>15</v>
      </c>
      <c r="Y95" s="204" t="s">
        <v>1312</v>
      </c>
      <c r="Z95" s="313">
        <f t="shared" si="1"/>
        <v>669119999.9000001</v>
      </c>
      <c r="AA95" s="314">
        <f>VLOOKUP(H95,'Dự thu chiết khấu'!$L$4:$AB$204,17,0)-Z95</f>
        <v>9.9999904632568359E-2</v>
      </c>
    </row>
    <row r="96" spans="1:27" ht="10.5" hidden="1" customHeight="1">
      <c r="A96" s="289">
        <v>46130</v>
      </c>
      <c r="B96" s="290" t="s">
        <v>8</v>
      </c>
      <c r="C96" s="291" t="s">
        <v>1190</v>
      </c>
      <c r="D96" s="291" t="s">
        <v>1190</v>
      </c>
      <c r="E96" s="290" t="s">
        <v>1580</v>
      </c>
      <c r="F96" s="290" t="s">
        <v>1191</v>
      </c>
      <c r="G96" s="290" t="s">
        <v>1581</v>
      </c>
      <c r="H96" s="204" t="str" cm="1">
        <f t="array" ref="H96">IFERROR(TRIM(LEFT(SUBSTITUTE(MID(G96,FIND("SK:",G96)+3,50),"-",REPT(" ",50)),50)),IFERROR(TRIM(LEFT(SUBSTITUTE(MID(J96,FIND("SK:",J96)+3,50),"-",REPT(" ",50)),50)),IFERROR(INDEX($H$6:$H$211,MATCH(1,(($I$6:$I$211=I96)*(ISNUMBER(SEARCH("SK:",$G$6:$G$211)))),0)),"")))</f>
        <v>RLNVBL9K7TT712611</v>
      </c>
      <c r="I96" s="290" t="s">
        <v>1582</v>
      </c>
      <c r="J96" s="290" t="s">
        <v>1581</v>
      </c>
      <c r="K96" s="290" t="s">
        <v>1313</v>
      </c>
      <c r="L96" s="292">
        <v>1</v>
      </c>
      <c r="M96" s="293">
        <v>276018182</v>
      </c>
      <c r="N96" s="294">
        <v>276018182</v>
      </c>
      <c r="O96" s="294">
        <v>27601818</v>
      </c>
      <c r="P96" s="294">
        <v>0</v>
      </c>
      <c r="Q96" s="294">
        <v>303620000</v>
      </c>
      <c r="R96" s="293">
        <v>281890909</v>
      </c>
      <c r="S96" s="294">
        <v>281890909</v>
      </c>
      <c r="T96" s="290" t="s">
        <v>12</v>
      </c>
      <c r="U96" s="290" t="s">
        <v>1314</v>
      </c>
      <c r="V96" s="290" t="s">
        <v>11</v>
      </c>
      <c r="W96" s="290" t="s">
        <v>9</v>
      </c>
      <c r="X96" s="290" t="s">
        <v>15</v>
      </c>
      <c r="Y96" s="204" t="s">
        <v>1312</v>
      </c>
      <c r="Z96" s="313">
        <f t="shared" si="1"/>
        <v>310079999.90000004</v>
      </c>
      <c r="AA96" s="314">
        <f>VLOOKUP(H96,'Dự thu chiết khấu'!$L$4:$AB$204,17,0)-Z96</f>
        <v>9.9999964237213135E-2</v>
      </c>
    </row>
    <row r="97" spans="1:27" ht="10.5" hidden="1" customHeight="1">
      <c r="A97" s="289">
        <v>46130</v>
      </c>
      <c r="B97" s="290" t="s">
        <v>8</v>
      </c>
      <c r="C97" s="291" t="s">
        <v>1192</v>
      </c>
      <c r="D97" s="291" t="s">
        <v>1192</v>
      </c>
      <c r="E97" s="290" t="s">
        <v>1583</v>
      </c>
      <c r="F97" s="290" t="s">
        <v>1193</v>
      </c>
      <c r="G97" s="290" t="s">
        <v>1584</v>
      </c>
      <c r="H97" s="204" t="str" cm="1">
        <f t="array" ref="H97">IFERROR(TRIM(LEFT(SUBSTITUTE(MID(G97,FIND("SK:",G97)+3,50),"-",REPT(" ",50)),50)),IFERROR(TRIM(LEFT(SUBSTITUTE(MID(J97,FIND("SK:",J97)+3,50),"-",REPT(" ",50)),50)),IFERROR(INDEX($H$6:$H$211,MATCH(1,(($I$6:$I$211=I97)*(ISNUMBER(SEARCH("SK:",$G$6:$G$211)))),0)),"")))</f>
        <v>RLNVBL9K1ST715437</v>
      </c>
      <c r="I97" s="290" t="s">
        <v>1585</v>
      </c>
      <c r="J97" s="290" t="s">
        <v>1584</v>
      </c>
      <c r="K97" s="290" t="s">
        <v>1313</v>
      </c>
      <c r="L97" s="292">
        <v>1</v>
      </c>
      <c r="M97" s="293">
        <v>248545455</v>
      </c>
      <c r="N97" s="294">
        <v>248545455</v>
      </c>
      <c r="O97" s="294">
        <v>24854545</v>
      </c>
      <c r="P97" s="294">
        <v>0</v>
      </c>
      <c r="Q97" s="294">
        <v>273400000</v>
      </c>
      <c r="R97" s="293">
        <v>270545455</v>
      </c>
      <c r="S97" s="294">
        <v>270545455</v>
      </c>
      <c r="T97" s="290" t="s">
        <v>12</v>
      </c>
      <c r="U97" s="290" t="s">
        <v>1318</v>
      </c>
      <c r="V97" s="290" t="s">
        <v>11</v>
      </c>
      <c r="W97" s="290" t="s">
        <v>9</v>
      </c>
      <c r="X97" s="290" t="s">
        <v>15</v>
      </c>
      <c r="Y97" s="204" t="s">
        <v>1312</v>
      </c>
      <c r="Z97" s="313">
        <f t="shared" si="1"/>
        <v>297600000.5</v>
      </c>
      <c r="AA97" s="314">
        <f>VLOOKUP(H97,'Dự thu chiết khấu'!$L$4:$AB$204,17,0)-Z97</f>
        <v>-0.5</v>
      </c>
    </row>
    <row r="98" spans="1:27" ht="10.5" hidden="1" customHeight="1">
      <c r="A98" s="289">
        <v>46130</v>
      </c>
      <c r="B98" s="290" t="s">
        <v>8</v>
      </c>
      <c r="C98" s="291" t="s">
        <v>1194</v>
      </c>
      <c r="D98" s="291" t="s">
        <v>1194</v>
      </c>
      <c r="E98" s="290" t="s">
        <v>1583</v>
      </c>
      <c r="F98" s="290" t="s">
        <v>1193</v>
      </c>
      <c r="G98" s="290" t="s">
        <v>1586</v>
      </c>
      <c r="H98" s="204" t="str" cm="1">
        <f t="array" ref="H98">IFERROR(TRIM(LEFT(SUBSTITUTE(MID(G98,FIND("SK:",G98)+3,50),"-",REPT(" ",50)),50)),IFERROR(TRIM(LEFT(SUBSTITUTE(MID(J98,FIND("SK:",J98)+3,50),"-",REPT(" ",50)),50)),IFERROR(INDEX($H$6:$H$211,MATCH(1,(($I$6:$I$211=I98)*(ISNUMBER(SEARCH("SK:",$G$6:$G$211)))),0)),"")))</f>
        <v>RLNVBL9KXST716134</v>
      </c>
      <c r="I98" s="290" t="s">
        <v>1587</v>
      </c>
      <c r="J98" s="290" t="s">
        <v>1586</v>
      </c>
      <c r="K98" s="290" t="s">
        <v>1313</v>
      </c>
      <c r="L98" s="292">
        <v>1</v>
      </c>
      <c r="M98" s="293">
        <v>248545455</v>
      </c>
      <c r="N98" s="294">
        <v>248545455</v>
      </c>
      <c r="O98" s="294">
        <v>24854545</v>
      </c>
      <c r="P98" s="294">
        <v>0</v>
      </c>
      <c r="Q98" s="294">
        <v>273400000</v>
      </c>
      <c r="R98" s="293">
        <v>270545455</v>
      </c>
      <c r="S98" s="294">
        <v>270545455</v>
      </c>
      <c r="T98" s="290" t="s">
        <v>12</v>
      </c>
      <c r="U98" s="290" t="s">
        <v>1314</v>
      </c>
      <c r="V98" s="290" t="s">
        <v>11</v>
      </c>
      <c r="W98" s="290" t="s">
        <v>9</v>
      </c>
      <c r="X98" s="290" t="s">
        <v>15</v>
      </c>
      <c r="Y98" s="204" t="s">
        <v>1312</v>
      </c>
      <c r="Z98" s="313">
        <f t="shared" si="1"/>
        <v>297600000.5</v>
      </c>
      <c r="AA98" s="314">
        <f>VLOOKUP(H98,'Dự thu chiết khấu'!$L$4:$AB$204,17,0)-Z98</f>
        <v>-0.5</v>
      </c>
    </row>
    <row r="99" spans="1:27" ht="10.5" hidden="1" customHeight="1">
      <c r="A99" s="289">
        <v>46130</v>
      </c>
      <c r="B99" s="290" t="s">
        <v>8</v>
      </c>
      <c r="C99" s="291" t="s">
        <v>1102</v>
      </c>
      <c r="D99" s="291" t="s">
        <v>1102</v>
      </c>
      <c r="E99" s="290" t="s">
        <v>1588</v>
      </c>
      <c r="F99" s="290" t="s">
        <v>1103</v>
      </c>
      <c r="G99" s="290" t="s">
        <v>1589</v>
      </c>
      <c r="H99" s="204" t="str" cm="1">
        <f t="array" ref="H99">IFERROR(TRIM(LEFT(SUBSTITUTE(MID(G99,FIND("SK:",G99)+3,50),"-",REPT(" ",50)),50)),IFERROR(TRIM(LEFT(SUBSTITUTE(MID(J99,FIND("SK:",J99)+3,50),"-",REPT(" ",50)),50)),IFERROR(INDEX($H$6:$H$211,MATCH(1,(($I$6:$I$211=I99)*(ISNUMBER(SEARCH("SK:",$G$6:$G$211)))),0)),"")))</f>
        <v>RLLVAG8C9TH741687</v>
      </c>
      <c r="I99" s="290" t="s">
        <v>1590</v>
      </c>
      <c r="J99" s="290" t="s">
        <v>1589</v>
      </c>
      <c r="K99" s="290" t="s">
        <v>1313</v>
      </c>
      <c r="L99" s="292">
        <v>1</v>
      </c>
      <c r="M99" s="293">
        <v>627545455</v>
      </c>
      <c r="N99" s="294">
        <v>627545455</v>
      </c>
      <c r="O99" s="294">
        <v>62754545</v>
      </c>
      <c r="P99" s="294">
        <v>0</v>
      </c>
      <c r="Q99" s="294">
        <v>690300000</v>
      </c>
      <c r="R99" s="293">
        <v>650181818</v>
      </c>
      <c r="S99" s="294">
        <v>650181818</v>
      </c>
      <c r="T99" s="290" t="s">
        <v>12</v>
      </c>
      <c r="U99" s="290" t="s">
        <v>1314</v>
      </c>
      <c r="V99" s="290" t="s">
        <v>11</v>
      </c>
      <c r="W99" s="290" t="s">
        <v>9</v>
      </c>
      <c r="X99" s="290" t="s">
        <v>15</v>
      </c>
      <c r="Y99" s="204" t="s">
        <v>1312</v>
      </c>
      <c r="Z99" s="313">
        <f t="shared" si="1"/>
        <v>715199999.80000007</v>
      </c>
      <c r="AA99" s="314">
        <f>VLOOKUP(H99,'Dự thu chiết khấu'!$L$4:$AB$204,17,0)-Z99</f>
        <v>0.19999992847442627</v>
      </c>
    </row>
    <row r="100" spans="1:27" ht="10.5" hidden="1" customHeight="1">
      <c r="A100" s="289">
        <v>46132</v>
      </c>
      <c r="B100" s="290" t="s">
        <v>8</v>
      </c>
      <c r="C100" s="291" t="s">
        <v>1104</v>
      </c>
      <c r="D100" s="291" t="s">
        <v>1104</v>
      </c>
      <c r="E100" s="290" t="s">
        <v>1591</v>
      </c>
      <c r="F100" s="290" t="s">
        <v>1105</v>
      </c>
      <c r="G100" s="290" t="s">
        <v>1592</v>
      </c>
      <c r="H100" s="204" t="str" cm="1">
        <f t="array" ref="H100">IFERROR(TRIM(LEFT(SUBSTITUTE(MID(G100,FIND("SK:",G100)+3,50),"-",REPT(" ",50)),50)),IFERROR(TRIM(LEFT(SUBSTITUTE(MID(J100,FIND("SK:",J100)+3,50),"-",REPT(" ",50)),50)),IFERROR(INDEX($H$6:$H$211,MATCH(1,(($I$6:$I$211=I100)*(ISNUMBER(SEARCH("SK:",$G$6:$G$211)))),0)),"")))</f>
        <v>RLNV5JSE3TH739565</v>
      </c>
      <c r="I100" s="290" t="s">
        <v>1593</v>
      </c>
      <c r="J100" s="290" t="s">
        <v>1592</v>
      </c>
      <c r="K100" s="290" t="s">
        <v>1313</v>
      </c>
      <c r="L100" s="292">
        <v>1</v>
      </c>
      <c r="M100" s="293">
        <v>452054545</v>
      </c>
      <c r="N100" s="294">
        <v>452054545</v>
      </c>
      <c r="O100" s="294">
        <v>45205455</v>
      </c>
      <c r="P100" s="294">
        <v>0</v>
      </c>
      <c r="Q100" s="294">
        <v>497260000</v>
      </c>
      <c r="R100" s="293">
        <v>461672727</v>
      </c>
      <c r="S100" s="294">
        <v>461672727</v>
      </c>
      <c r="T100" s="290" t="s">
        <v>12</v>
      </c>
      <c r="U100" s="290" t="s">
        <v>1314</v>
      </c>
      <c r="V100" s="290" t="s">
        <v>11</v>
      </c>
      <c r="W100" s="290" t="s">
        <v>9</v>
      </c>
      <c r="X100" s="290" t="s">
        <v>15</v>
      </c>
      <c r="Y100" s="204" t="s">
        <v>1312</v>
      </c>
      <c r="Z100" s="313">
        <f t="shared" si="1"/>
        <v>507839999.70000005</v>
      </c>
      <c r="AA100" s="314">
        <f>VLOOKUP(H100,'Dự thu chiết khấu'!$L$4:$AB$204,17,0)-Z100</f>
        <v>0.29999995231628418</v>
      </c>
    </row>
    <row r="101" spans="1:27" ht="10.5" hidden="1" customHeight="1">
      <c r="A101" s="289">
        <v>46132</v>
      </c>
      <c r="B101" s="290" t="s">
        <v>8</v>
      </c>
      <c r="C101" s="291" t="s">
        <v>1195</v>
      </c>
      <c r="D101" s="291" t="s">
        <v>1195</v>
      </c>
      <c r="E101" s="290" t="s">
        <v>1594</v>
      </c>
      <c r="F101" s="290" t="s">
        <v>556</v>
      </c>
      <c r="G101" s="290" t="s">
        <v>1595</v>
      </c>
      <c r="H101" s="204" t="str" cm="1">
        <f t="array" ref="H101">IFERROR(TRIM(LEFT(SUBSTITUTE(MID(G101,FIND("SK:",G101)+3,50),"-",REPT(" ",50)),50)),IFERROR(TRIM(LEFT(SUBSTITUTE(MID(J101,FIND("SK:",J101)+3,50),"-",REPT(" ",50)),50)),IFERROR(INDEX($H$6:$H$211,MATCH(1,(($I$6:$I$211=I101)*(ISNUMBER(SEARCH("SK:",$G$6:$G$211)))),0)),"")))</f>
        <v>RLNVBL9K8TT713430</v>
      </c>
      <c r="I101" s="290" t="s">
        <v>1596</v>
      </c>
      <c r="J101" s="290" t="s">
        <v>1595</v>
      </c>
      <c r="K101" s="290" t="s">
        <v>1313</v>
      </c>
      <c r="L101" s="292">
        <v>1</v>
      </c>
      <c r="M101" s="293">
        <v>246272727</v>
      </c>
      <c r="N101" s="294">
        <v>246272727</v>
      </c>
      <c r="O101" s="294">
        <v>24627273</v>
      </c>
      <c r="P101" s="294">
        <v>0</v>
      </c>
      <c r="Q101" s="294">
        <v>270900000</v>
      </c>
      <c r="R101" s="293">
        <v>274909091</v>
      </c>
      <c r="S101" s="294">
        <v>274909091</v>
      </c>
      <c r="T101" s="290" t="s">
        <v>12</v>
      </c>
      <c r="U101" s="290" t="s">
        <v>1334</v>
      </c>
      <c r="V101" s="290" t="s">
        <v>11</v>
      </c>
      <c r="W101" s="290" t="s">
        <v>9</v>
      </c>
      <c r="X101" s="290" t="s">
        <v>13</v>
      </c>
      <c r="Y101" s="204" t="s">
        <v>1312</v>
      </c>
      <c r="Z101" s="313">
        <f t="shared" si="1"/>
        <v>302400000.10000002</v>
      </c>
      <c r="AA101" s="314">
        <f>VLOOKUP(H101,'Dự thu chiết khấu'!$L$4:$AB$204,17,0)-Z101</f>
        <v>-0.10000002384185791</v>
      </c>
    </row>
    <row r="102" spans="1:27" ht="10.5" hidden="1" customHeight="1">
      <c r="A102" s="289">
        <v>46132</v>
      </c>
      <c r="B102" s="290" t="s">
        <v>8</v>
      </c>
      <c r="C102" s="291" t="s">
        <v>1106</v>
      </c>
      <c r="D102" s="291" t="s">
        <v>1106</v>
      </c>
      <c r="E102" s="290" t="s">
        <v>1597</v>
      </c>
      <c r="F102" s="290" t="s">
        <v>611</v>
      </c>
      <c r="G102" s="290" t="s">
        <v>1598</v>
      </c>
      <c r="H102" s="204" t="str" cm="1">
        <f t="array" ref="H102">IFERROR(TRIM(LEFT(SUBSTITUTE(MID(G102,FIND("SK:",G102)+3,50),"-",REPT(" ",50)),50)),IFERROR(TRIM(LEFT(SUBSTITUTE(MID(J102,FIND("SK:",J102)+3,50),"-",REPT(" ",50)),50)),IFERROR(INDEX($H$6:$H$211,MATCH(1,(($I$6:$I$211=I102)*(ISNUMBER(SEARCH("SK:",$G$6:$G$211)))),0)),"")))</f>
        <v>RLLV2CFA5TH703199</v>
      </c>
      <c r="I102" s="290" t="s">
        <v>1599</v>
      </c>
      <c r="J102" s="290" t="s">
        <v>1598</v>
      </c>
      <c r="K102" s="290" t="s">
        <v>1313</v>
      </c>
      <c r="L102" s="292">
        <v>1</v>
      </c>
      <c r="M102" s="293">
        <v>1343754545</v>
      </c>
      <c r="N102" s="294">
        <v>1343754545</v>
      </c>
      <c r="O102" s="294">
        <v>134375455</v>
      </c>
      <c r="P102" s="294">
        <v>0</v>
      </c>
      <c r="Q102" s="294">
        <v>1478130000</v>
      </c>
      <c r="R102" s="293">
        <v>1451872727</v>
      </c>
      <c r="S102" s="294">
        <v>1451872727</v>
      </c>
      <c r="T102" s="290" t="s">
        <v>12</v>
      </c>
      <c r="U102" s="290" t="s">
        <v>1318</v>
      </c>
      <c r="V102" s="290" t="s">
        <v>11</v>
      </c>
      <c r="W102" s="290" t="s">
        <v>9</v>
      </c>
      <c r="X102" s="290" t="s">
        <v>14</v>
      </c>
      <c r="Y102" s="204" t="s">
        <v>1312</v>
      </c>
      <c r="Z102" s="313">
        <f t="shared" si="1"/>
        <v>1597059999.7</v>
      </c>
      <c r="AA102" s="314">
        <f>VLOOKUP(H102,'Dự thu chiết khấu'!$L$4:$AB$204,17,0)-Z102</f>
        <v>0.29999995231628418</v>
      </c>
    </row>
    <row r="103" spans="1:27" ht="10.5" hidden="1" customHeight="1">
      <c r="A103" s="289">
        <v>46132</v>
      </c>
      <c r="B103" s="290" t="s">
        <v>8</v>
      </c>
      <c r="C103" s="291" t="s">
        <v>1196</v>
      </c>
      <c r="D103" s="291" t="s">
        <v>1196</v>
      </c>
      <c r="E103" s="290" t="s">
        <v>1600</v>
      </c>
      <c r="F103" s="290" t="s">
        <v>666</v>
      </c>
      <c r="G103" s="290" t="s">
        <v>1601</v>
      </c>
      <c r="H103" s="204" t="str" cm="1">
        <f t="array" ref="H103">IFERROR(TRIM(LEFT(SUBSTITUTE(MID(G103,FIND("SK:",G103)+3,50),"-",REPT(" ",50)),50)),IFERROR(TRIM(LEFT(SUBSTITUTE(MID(J103,FIND("SK:",J103)+3,50),"-",REPT(" ",50)),50)),IFERROR(INDEX($H$6:$H$211,MATCH(1,(($I$6:$I$211=I103)*(ISNUMBER(SEARCH("SK:",$G$6:$G$211)))),0)),"")))</f>
        <v>RLLV3EKBXSH879204</v>
      </c>
      <c r="I103" s="290" t="s">
        <v>1602</v>
      </c>
      <c r="J103" s="290" t="s">
        <v>1601</v>
      </c>
      <c r="K103" s="290" t="s">
        <v>1313</v>
      </c>
      <c r="L103" s="292">
        <v>1</v>
      </c>
      <c r="M103" s="293">
        <v>770600000</v>
      </c>
      <c r="N103" s="294">
        <v>770600000</v>
      </c>
      <c r="O103" s="294">
        <v>77060000</v>
      </c>
      <c r="P103" s="294">
        <v>0</v>
      </c>
      <c r="Q103" s="294">
        <v>847660000</v>
      </c>
      <c r="R103" s="293">
        <v>815222727</v>
      </c>
      <c r="S103" s="294">
        <v>815222727</v>
      </c>
      <c r="T103" s="290" t="s">
        <v>12</v>
      </c>
      <c r="U103" s="290" t="s">
        <v>1318</v>
      </c>
      <c r="V103" s="290" t="s">
        <v>11</v>
      </c>
      <c r="W103" s="290" t="s">
        <v>9</v>
      </c>
      <c r="X103" s="290" t="s">
        <v>10</v>
      </c>
      <c r="Y103" s="204" t="s">
        <v>1312</v>
      </c>
      <c r="Z103" s="313">
        <f t="shared" si="1"/>
        <v>896744999.70000005</v>
      </c>
      <c r="AA103" s="314">
        <f>VLOOKUP(H103,'Dự thu chiết khấu'!$L$4:$AB$204,17,0)-Z103</f>
        <v>0.29999995231628418</v>
      </c>
    </row>
    <row r="104" spans="1:27" ht="10.5" hidden="1" customHeight="1">
      <c r="A104" s="289">
        <v>46132</v>
      </c>
      <c r="B104" s="290" t="s">
        <v>8</v>
      </c>
      <c r="C104" s="291" t="s">
        <v>1197</v>
      </c>
      <c r="D104" s="291" t="s">
        <v>1197</v>
      </c>
      <c r="E104" s="290" t="s">
        <v>1603</v>
      </c>
      <c r="F104" s="290" t="s">
        <v>1198</v>
      </c>
      <c r="G104" s="290" t="s">
        <v>1604</v>
      </c>
      <c r="H104" s="204" t="str" cm="1">
        <f t="array" ref="H104">IFERROR(TRIM(LEFT(SUBSTITUTE(MID(G104,FIND("SK:",G104)+3,50),"-",REPT(" ",50)),50)),IFERROR(TRIM(LEFT(SUBSTITUTE(MID(J104,FIND("SK:",J104)+3,50),"-",REPT(" ",50)),50)),IFERROR(INDEX($H$6:$H$211,MATCH(1,(($I$6:$I$211=I104)*(ISNUMBER(SEARCH("SK:",$G$6:$G$211)))),0)),"")))</f>
        <v>RLNV5JSE8TH747175</v>
      </c>
      <c r="I104" s="290" t="s">
        <v>1605</v>
      </c>
      <c r="J104" s="290" t="s">
        <v>1604</v>
      </c>
      <c r="K104" s="290" t="s">
        <v>1313</v>
      </c>
      <c r="L104" s="292">
        <v>1</v>
      </c>
      <c r="M104" s="293">
        <v>450709091</v>
      </c>
      <c r="N104" s="294">
        <v>450709091</v>
      </c>
      <c r="O104" s="294">
        <v>45070909</v>
      </c>
      <c r="P104" s="294">
        <v>0</v>
      </c>
      <c r="Q104" s="294">
        <v>495780000</v>
      </c>
      <c r="R104" s="293">
        <v>468654545</v>
      </c>
      <c r="S104" s="294">
        <v>468654545</v>
      </c>
      <c r="T104" s="290" t="s">
        <v>12</v>
      </c>
      <c r="U104" s="290" t="s">
        <v>1314</v>
      </c>
      <c r="V104" s="290" t="s">
        <v>11</v>
      </c>
      <c r="W104" s="290" t="s">
        <v>9</v>
      </c>
      <c r="X104" s="290" t="s">
        <v>15</v>
      </c>
      <c r="Y104" s="204" t="s">
        <v>1312</v>
      </c>
      <c r="Z104" s="313">
        <f t="shared" si="1"/>
        <v>515519999.50000006</v>
      </c>
      <c r="AA104" s="314">
        <f>VLOOKUP(H104,'Dự thu chiết khấu'!$L$4:$AB$204,17,0)-Z104</f>
        <v>0.49999994039535522</v>
      </c>
    </row>
    <row r="105" spans="1:27" ht="10.5" hidden="1" customHeight="1">
      <c r="A105" s="289">
        <v>46132</v>
      </c>
      <c r="B105" s="290" t="s">
        <v>8</v>
      </c>
      <c r="C105" s="291" t="s">
        <v>1199</v>
      </c>
      <c r="D105" s="291" t="s">
        <v>1199</v>
      </c>
      <c r="E105" s="290" t="s">
        <v>1606</v>
      </c>
      <c r="F105" s="290" t="s">
        <v>1200</v>
      </c>
      <c r="G105" s="290" t="s">
        <v>1607</v>
      </c>
      <c r="H105" s="204" t="str" cm="1">
        <f t="array" ref="H105">IFERROR(TRIM(LEFT(SUBSTITUTE(MID(G105,FIND("SK:",G105)+3,50),"-",REPT(" ",50)),50)),IFERROR(TRIM(LEFT(SUBSTITUTE(MID(J105,FIND("SK:",J105)+3,50),"-",REPT(" ",50)),50)),IFERROR(INDEX($H$6:$H$211,MATCH(1,(($I$6:$I$211=I105)*(ISNUMBER(SEARCH("SK:",$G$6:$G$211)))),0)),"")))</f>
        <v>RLNVBL9K2TT709857</v>
      </c>
      <c r="I105" s="290" t="s">
        <v>1608</v>
      </c>
      <c r="J105" s="290" t="s">
        <v>1607</v>
      </c>
      <c r="K105" s="290" t="s">
        <v>1313</v>
      </c>
      <c r="L105" s="292">
        <v>1</v>
      </c>
      <c r="M105" s="293">
        <v>261944545</v>
      </c>
      <c r="N105" s="294">
        <v>261944545</v>
      </c>
      <c r="O105" s="294">
        <v>26194455</v>
      </c>
      <c r="P105" s="294">
        <v>0</v>
      </c>
      <c r="Q105" s="294">
        <v>288139000</v>
      </c>
      <c r="R105" s="293">
        <v>274909091</v>
      </c>
      <c r="S105" s="294">
        <v>274909091</v>
      </c>
      <c r="T105" s="290" t="s">
        <v>12</v>
      </c>
      <c r="U105" s="290" t="s">
        <v>1314</v>
      </c>
      <c r="V105" s="290" t="s">
        <v>11</v>
      </c>
      <c r="W105" s="290" t="s">
        <v>9</v>
      </c>
      <c r="X105" s="290" t="s">
        <v>15</v>
      </c>
      <c r="Y105" s="204" t="s">
        <v>1312</v>
      </c>
      <c r="Z105" s="313">
        <f t="shared" si="1"/>
        <v>302400000.10000002</v>
      </c>
      <c r="AA105" s="314">
        <f>VLOOKUP(H105,'Dự thu chiết khấu'!$L$4:$AB$204,17,0)-Z105</f>
        <v>-0.10000002384185791</v>
      </c>
    </row>
    <row r="106" spans="1:27" ht="10.5" hidden="1" customHeight="1">
      <c r="A106" s="289">
        <v>46132</v>
      </c>
      <c r="B106" s="290" t="s">
        <v>8</v>
      </c>
      <c r="C106" s="291" t="s">
        <v>1201</v>
      </c>
      <c r="D106" s="291" t="s">
        <v>1201</v>
      </c>
      <c r="E106" s="290" t="s">
        <v>1609</v>
      </c>
      <c r="F106" s="290" t="s">
        <v>1202</v>
      </c>
      <c r="G106" s="290" t="s">
        <v>1610</v>
      </c>
      <c r="H106" s="204" t="str" cm="1">
        <f t="array" ref="H106">IFERROR(TRIM(LEFT(SUBSTITUTE(MID(G106,FIND("SK:",G106)+3,50),"-",REPT(" ",50)),50)),IFERROR(TRIM(LEFT(SUBSTITUTE(MID(J106,FIND("SK:",J106)+3,50),"-",REPT(" ",50)),50)),IFERROR(INDEX($H$6:$H$211,MATCH(1,(($I$6:$I$211=I106)*(ISNUMBER(SEARCH("SK:",$G$6:$G$211)))),0)),"")))</f>
        <v>RLLV1AUAXTH997323</v>
      </c>
      <c r="I106" s="290" t="s">
        <v>1611</v>
      </c>
      <c r="J106" s="290" t="s">
        <v>1610</v>
      </c>
      <c r="K106" s="290" t="s">
        <v>1313</v>
      </c>
      <c r="L106" s="292">
        <v>1</v>
      </c>
      <c r="M106" s="293">
        <v>925467591</v>
      </c>
      <c r="N106" s="294">
        <v>925467591</v>
      </c>
      <c r="O106" s="294">
        <v>92546759</v>
      </c>
      <c r="P106" s="294">
        <v>0</v>
      </c>
      <c r="Q106" s="294">
        <v>1018014350</v>
      </c>
      <c r="R106" s="293">
        <v>1030050000</v>
      </c>
      <c r="S106" s="294">
        <v>1030050000</v>
      </c>
      <c r="T106" s="290" t="s">
        <v>12</v>
      </c>
      <c r="U106" s="290" t="s">
        <v>1314</v>
      </c>
      <c r="V106" s="290" t="s">
        <v>11</v>
      </c>
      <c r="W106" s="290" t="s">
        <v>9</v>
      </c>
      <c r="X106" s="290" t="s">
        <v>15</v>
      </c>
      <c r="Y106" s="204" t="s">
        <v>1312</v>
      </c>
      <c r="Z106" s="313">
        <f t="shared" si="1"/>
        <v>1133055000</v>
      </c>
      <c r="AA106" s="314">
        <f>VLOOKUP(H106,'Dự thu chiết khấu'!$L$4:$AB$204,17,0)-Z106</f>
        <v>0</v>
      </c>
    </row>
    <row r="107" spans="1:27" ht="10.5" hidden="1" customHeight="1">
      <c r="A107" s="289">
        <v>46132</v>
      </c>
      <c r="B107" s="290" t="s">
        <v>8</v>
      </c>
      <c r="C107" s="291" t="s">
        <v>1203</v>
      </c>
      <c r="D107" s="291" t="s">
        <v>1203</v>
      </c>
      <c r="E107" s="290" t="s">
        <v>1612</v>
      </c>
      <c r="F107" s="290" t="s">
        <v>1204</v>
      </c>
      <c r="G107" s="290" t="s">
        <v>1613</v>
      </c>
      <c r="H107" s="204" t="str" cm="1">
        <f t="array" ref="H107">IFERROR(TRIM(LEFT(SUBSTITUTE(MID(G107,FIND("SK:",G107)+3,50),"-",REPT(" ",50)),50)),IFERROR(TRIM(LEFT(SUBSTITUTE(MID(J107,FIND("SK:",J107)+3,50),"-",REPT(" ",50)),50)),IFERROR(INDEX($H$6:$H$211,MATCH(1,(($I$6:$I$211=I107)*(ISNUMBER(SEARCH("SK:",$G$6:$G$211)))),0)),"")))</f>
        <v>RLLVFPNTXTH705173</v>
      </c>
      <c r="I107" s="290" t="s">
        <v>1614</v>
      </c>
      <c r="J107" s="290" t="s">
        <v>1613</v>
      </c>
      <c r="K107" s="290" t="s">
        <v>1313</v>
      </c>
      <c r="L107" s="292">
        <v>1</v>
      </c>
      <c r="M107" s="293">
        <v>614172727</v>
      </c>
      <c r="N107" s="294">
        <v>614172727</v>
      </c>
      <c r="O107" s="294">
        <v>61417273</v>
      </c>
      <c r="P107" s="294">
        <v>0</v>
      </c>
      <c r="Q107" s="294">
        <v>675590000</v>
      </c>
      <c r="R107" s="293">
        <v>653672727</v>
      </c>
      <c r="S107" s="294">
        <v>653672727</v>
      </c>
      <c r="T107" s="290" t="s">
        <v>12</v>
      </c>
      <c r="U107" s="290" t="s">
        <v>1318</v>
      </c>
      <c r="V107" s="290" t="s">
        <v>11</v>
      </c>
      <c r="W107" s="290" t="s">
        <v>9</v>
      </c>
      <c r="X107" s="290" t="s">
        <v>14</v>
      </c>
      <c r="Y107" s="204" t="s">
        <v>1312</v>
      </c>
      <c r="Z107" s="313">
        <f t="shared" si="1"/>
        <v>719039999.70000005</v>
      </c>
      <c r="AA107" s="314">
        <f>VLOOKUP(H107,'Dự thu chiết khấu'!$L$4:$AB$204,17,0)-Z107</f>
        <v>0.29999995231628418</v>
      </c>
    </row>
    <row r="108" spans="1:27" ht="10.5" hidden="1" customHeight="1">
      <c r="A108" s="289">
        <v>46132</v>
      </c>
      <c r="B108" s="290" t="s">
        <v>8</v>
      </c>
      <c r="C108" s="291" t="s">
        <v>1108</v>
      </c>
      <c r="D108" s="291" t="s">
        <v>1108</v>
      </c>
      <c r="E108" s="290" t="s">
        <v>1615</v>
      </c>
      <c r="F108" s="290" t="s">
        <v>672</v>
      </c>
      <c r="G108" s="290" t="s">
        <v>1616</v>
      </c>
      <c r="H108" s="204" t="str" cm="1">
        <f t="array" ref="H108">IFERROR(TRIM(LEFT(SUBSTITUTE(MID(G108,FIND("SK:",G108)+3,50),"-",REPT(" ",50)),50)),IFERROR(TRIM(LEFT(SUBSTITUTE(MID(J108,FIND("SK:",J108)+3,50),"-",REPT(" ",50)),50)),IFERROR(INDEX($H$6:$H$211,MATCH(1,(($I$6:$I$211=I108)*(ISNUMBER(SEARCH("SK:",$G$6:$G$211)))),0)),"")))</f>
        <v>RLNVBL9K7TT711958</v>
      </c>
      <c r="I108" s="290" t="s">
        <v>1617</v>
      </c>
      <c r="J108" s="290" t="s">
        <v>1616</v>
      </c>
      <c r="K108" s="290" t="s">
        <v>1313</v>
      </c>
      <c r="L108" s="292">
        <v>1</v>
      </c>
      <c r="M108" s="293">
        <v>269181818</v>
      </c>
      <c r="N108" s="294">
        <v>269181818</v>
      </c>
      <c r="O108" s="294">
        <v>26918182</v>
      </c>
      <c r="P108" s="294">
        <v>0</v>
      </c>
      <c r="Q108" s="294">
        <v>296100000</v>
      </c>
      <c r="R108" s="293">
        <v>274909091</v>
      </c>
      <c r="S108" s="294">
        <v>274909091</v>
      </c>
      <c r="T108" s="290" t="s">
        <v>12</v>
      </c>
      <c r="U108" s="290" t="s">
        <v>1318</v>
      </c>
      <c r="V108" s="290" t="s">
        <v>11</v>
      </c>
      <c r="W108" s="290" t="s">
        <v>9</v>
      </c>
      <c r="X108" s="290" t="s">
        <v>10</v>
      </c>
      <c r="Y108" s="204" t="s">
        <v>1312</v>
      </c>
      <c r="Z108" s="313">
        <f t="shared" si="1"/>
        <v>302400000.10000002</v>
      </c>
      <c r="AA108" s="314">
        <f>VLOOKUP(H108,'Dự thu chiết khấu'!$L$4:$AB$204,17,0)-Z108</f>
        <v>-0.10000002384185791</v>
      </c>
    </row>
    <row r="109" spans="1:27" ht="10.5" hidden="1" customHeight="1">
      <c r="A109" s="289">
        <v>46132</v>
      </c>
      <c r="B109" s="290" t="s">
        <v>8</v>
      </c>
      <c r="C109" s="291" t="s">
        <v>1109</v>
      </c>
      <c r="D109" s="291" t="s">
        <v>1109</v>
      </c>
      <c r="E109" s="290" t="s">
        <v>1618</v>
      </c>
      <c r="F109" s="290" t="s">
        <v>682</v>
      </c>
      <c r="G109" s="290" t="s">
        <v>1619</v>
      </c>
      <c r="H109" s="204" t="str" cm="1">
        <f t="array" ref="H109">IFERROR(TRIM(LEFT(SUBSTITUTE(MID(G109,FIND("SK:",G109)+3,50),"-",REPT(" ",50)),50)),IFERROR(TRIM(LEFT(SUBSTITUTE(MID(J109,FIND("SK:",J109)+3,50),"-",REPT(" ",50)),50)),IFERROR(INDEX($H$6:$H$211,MATCH(1,(($I$6:$I$211=I109)*(ISNUMBER(SEARCH("SK:",$G$6:$G$211)))),0)),"")))</f>
        <v>RLLVFPNT0TH704744</v>
      </c>
      <c r="I109" s="290" t="s">
        <v>1620</v>
      </c>
      <c r="J109" s="290" t="s">
        <v>1619</v>
      </c>
      <c r="K109" s="290" t="s">
        <v>1313</v>
      </c>
      <c r="L109" s="292">
        <v>1</v>
      </c>
      <c r="M109" s="293">
        <v>615081818</v>
      </c>
      <c r="N109" s="294">
        <v>615081818</v>
      </c>
      <c r="O109" s="294">
        <v>61508182</v>
      </c>
      <c r="P109" s="294">
        <v>0</v>
      </c>
      <c r="Q109" s="294">
        <v>676590000</v>
      </c>
      <c r="R109" s="293">
        <v>653672727</v>
      </c>
      <c r="S109" s="294">
        <v>653672727</v>
      </c>
      <c r="T109" s="290" t="s">
        <v>12</v>
      </c>
      <c r="U109" s="290" t="s">
        <v>1314</v>
      </c>
      <c r="V109" s="290" t="s">
        <v>11</v>
      </c>
      <c r="W109" s="290" t="s">
        <v>9</v>
      </c>
      <c r="X109" s="290" t="s">
        <v>16</v>
      </c>
      <c r="Y109" s="204" t="s">
        <v>1312</v>
      </c>
      <c r="Z109" s="313">
        <f t="shared" si="1"/>
        <v>719039999.70000005</v>
      </c>
      <c r="AA109" s="314">
        <f>VLOOKUP(H109,'Dự thu chiết khấu'!$L$4:$AB$204,17,0)-Z109</f>
        <v>0.29999995231628418</v>
      </c>
    </row>
    <row r="110" spans="1:27" ht="10.5" hidden="1" customHeight="1">
      <c r="A110" s="289">
        <v>46133</v>
      </c>
      <c r="B110" s="290" t="s">
        <v>8</v>
      </c>
      <c r="C110" s="291" t="s">
        <v>1621</v>
      </c>
      <c r="D110" s="291" t="s">
        <v>1312</v>
      </c>
      <c r="E110" s="290" t="s">
        <v>1618</v>
      </c>
      <c r="F110" s="290" t="s">
        <v>682</v>
      </c>
      <c r="G110" s="290" t="s">
        <v>1622</v>
      </c>
      <c r="H110" s="204" t="str" cm="1">
        <f t="array" ref="H110">IFERROR(TRIM(LEFT(SUBSTITUTE(MID(G110,FIND("SK:",G110)+3,50),"-",REPT(" ",50)),50)),IFERROR(TRIM(LEFT(SUBSTITUTE(MID(J110,FIND("SK:",J110)+3,50),"-",REPT(" ",50)),50)),IFERROR(INDEX($H$6:$H$211,MATCH(1,(($I$6:$I$211=I110)*(ISNUMBER(SEARCH("SK:",$G$6:$G$211)))),0)),"")))</f>
        <v>RLLVFPNT0TH704744</v>
      </c>
      <c r="I110" s="290" t="s">
        <v>1620</v>
      </c>
      <c r="J110" s="290" t="s">
        <v>1619</v>
      </c>
      <c r="K110" s="290" t="s">
        <v>1313</v>
      </c>
      <c r="L110" s="292">
        <v>0</v>
      </c>
      <c r="M110" s="293">
        <v>0</v>
      </c>
      <c r="N110" s="294">
        <v>4545455</v>
      </c>
      <c r="O110" s="294">
        <v>454545</v>
      </c>
      <c r="P110" s="294">
        <v>0</v>
      </c>
      <c r="Q110" s="294">
        <v>5000000</v>
      </c>
      <c r="R110" s="293">
        <v>0</v>
      </c>
      <c r="S110" s="294">
        <v>0</v>
      </c>
      <c r="T110" s="290" t="s">
        <v>12</v>
      </c>
      <c r="U110" s="290" t="s">
        <v>1314</v>
      </c>
      <c r="V110" s="290" t="s">
        <v>11</v>
      </c>
      <c r="W110" s="290" t="s">
        <v>9</v>
      </c>
      <c r="X110" s="290" t="s">
        <v>16</v>
      </c>
      <c r="Y110" s="204" t="s">
        <v>1312</v>
      </c>
      <c r="Z110" s="313">
        <f t="shared" si="1"/>
        <v>0</v>
      </c>
      <c r="AA110" s="314"/>
    </row>
    <row r="111" spans="1:27" ht="10.5" hidden="1" customHeight="1">
      <c r="A111" s="289">
        <v>46133</v>
      </c>
      <c r="B111" s="290" t="s">
        <v>8</v>
      </c>
      <c r="C111" s="291" t="s">
        <v>1110</v>
      </c>
      <c r="D111" s="291" t="s">
        <v>1110</v>
      </c>
      <c r="E111" s="290" t="s">
        <v>1623</v>
      </c>
      <c r="F111" s="290" t="s">
        <v>628</v>
      </c>
      <c r="G111" s="290" t="s">
        <v>1624</v>
      </c>
      <c r="H111" s="204" t="str" cm="1">
        <f t="array" ref="H111">IFERROR(TRIM(LEFT(SUBSTITUTE(MID(G111,FIND("SK:",G111)+3,50),"-",REPT(" ",50)),50)),IFERROR(TRIM(LEFT(SUBSTITUTE(MID(J111,FIND("SK:",J111)+3,50),"-",REPT(" ",50)),50)),IFERROR(INDEX($H$6:$H$211,MATCH(1,(($I$6:$I$211=I111)*(ISNUMBER(SEARCH("SK:",$G$6:$G$211)))),0)),"")))</f>
        <v>RLNV5JSE1SH895604</v>
      </c>
      <c r="I111" s="290" t="s">
        <v>1625</v>
      </c>
      <c r="J111" s="290" t="s">
        <v>1624</v>
      </c>
      <c r="K111" s="290" t="s">
        <v>1313</v>
      </c>
      <c r="L111" s="292">
        <v>1</v>
      </c>
      <c r="M111" s="293">
        <v>416416364</v>
      </c>
      <c r="N111" s="294">
        <v>416416364</v>
      </c>
      <c r="O111" s="294">
        <v>41641636</v>
      </c>
      <c r="P111" s="294">
        <v>0</v>
      </c>
      <c r="Q111" s="294">
        <v>458058000</v>
      </c>
      <c r="R111" s="293">
        <v>461672727</v>
      </c>
      <c r="S111" s="294">
        <v>461672727</v>
      </c>
      <c r="T111" s="290" t="s">
        <v>12</v>
      </c>
      <c r="U111" s="290" t="s">
        <v>1314</v>
      </c>
      <c r="V111" s="290" t="s">
        <v>11</v>
      </c>
      <c r="W111" s="290" t="s">
        <v>9</v>
      </c>
      <c r="X111" s="290" t="s">
        <v>14</v>
      </c>
      <c r="Y111" s="204" t="s">
        <v>1312</v>
      </c>
      <c r="Z111" s="313">
        <f t="shared" si="1"/>
        <v>507839999.70000005</v>
      </c>
      <c r="AA111" s="314">
        <f>VLOOKUP(H111,'Dự thu chiết khấu'!$L$4:$AB$204,17,0)-Z111</f>
        <v>0.29999995231628418</v>
      </c>
    </row>
    <row r="112" spans="1:27" ht="10.5" hidden="1" customHeight="1">
      <c r="A112" s="289">
        <v>46133</v>
      </c>
      <c r="B112" s="290" t="s">
        <v>8</v>
      </c>
      <c r="C112" s="291" t="s">
        <v>1205</v>
      </c>
      <c r="D112" s="291" t="s">
        <v>1205</v>
      </c>
      <c r="E112" s="290" t="s">
        <v>1626</v>
      </c>
      <c r="F112" s="290" t="s">
        <v>620</v>
      </c>
      <c r="G112" s="290" t="s">
        <v>1627</v>
      </c>
      <c r="H112" s="204" t="str" cm="1">
        <f t="array" ref="H112">IFERROR(TRIM(LEFT(SUBSTITUTE(MID(G112,FIND("SK:",G112)+3,50),"-",REPT(" ",50)),50)),IFERROR(TRIM(LEFT(SUBSTITUTE(MID(J112,FIND("SK:",J112)+3,50),"-",REPT(" ",50)),50)),IFERROR(INDEX($H$6:$H$211,MATCH(1,(($I$6:$I$211=I112)*(ISNUMBER(SEARCH("SK:",$G$6:$G$211)))),0)),"")))</f>
        <v>RLNVBL9K5ST716185</v>
      </c>
      <c r="I112" s="290" t="s">
        <v>1628</v>
      </c>
      <c r="J112" s="290" t="s">
        <v>1627</v>
      </c>
      <c r="K112" s="290" t="s">
        <v>1313</v>
      </c>
      <c r="L112" s="292">
        <v>1</v>
      </c>
      <c r="M112" s="293">
        <v>248545455</v>
      </c>
      <c r="N112" s="294">
        <v>248545455</v>
      </c>
      <c r="O112" s="294">
        <v>24854545</v>
      </c>
      <c r="P112" s="294">
        <v>0</v>
      </c>
      <c r="Q112" s="294">
        <v>273400000</v>
      </c>
      <c r="R112" s="293">
        <v>270545455</v>
      </c>
      <c r="S112" s="294">
        <v>270545455</v>
      </c>
      <c r="T112" s="290" t="s">
        <v>12</v>
      </c>
      <c r="U112" s="290" t="s">
        <v>1314</v>
      </c>
      <c r="V112" s="290" t="s">
        <v>11</v>
      </c>
      <c r="W112" s="290" t="s">
        <v>9</v>
      </c>
      <c r="X112" s="290" t="s">
        <v>14</v>
      </c>
      <c r="Y112" s="204" t="s">
        <v>1312</v>
      </c>
      <c r="Z112" s="313">
        <f t="shared" si="1"/>
        <v>297600000.5</v>
      </c>
      <c r="AA112" s="314">
        <f>VLOOKUP(H112,'Dự thu chiết khấu'!$L$4:$AB$204,17,0)-Z112</f>
        <v>-0.5</v>
      </c>
    </row>
    <row r="113" spans="1:27" ht="10.5" hidden="1" customHeight="1">
      <c r="A113" s="289">
        <v>46133</v>
      </c>
      <c r="B113" s="290" t="s">
        <v>8</v>
      </c>
      <c r="C113" s="291" t="s">
        <v>1206</v>
      </c>
      <c r="D113" s="291" t="s">
        <v>1206</v>
      </c>
      <c r="E113" s="290" t="s">
        <v>1629</v>
      </c>
      <c r="F113" s="290" t="s">
        <v>689</v>
      </c>
      <c r="G113" s="290" t="s">
        <v>1630</v>
      </c>
      <c r="H113" s="204" t="str" cm="1">
        <f t="array" ref="H113">IFERROR(TRIM(LEFT(SUBSTITUTE(MID(G113,FIND("SK:",G113)+3,50),"-",REPT(" ",50)),50)),IFERROR(TRIM(LEFT(SUBSTITUTE(MID(J113,FIND("SK:",J113)+3,50),"-",REPT(" ",50)),50)),IFERROR(INDEX($H$6:$H$211,MATCH(1,(($I$6:$I$211=I113)*(ISNUMBER(SEARCH("SK:",$G$6:$G$211)))),0)),"")))</f>
        <v>RLNVBL9K4TT713943</v>
      </c>
      <c r="I113" s="290" t="s">
        <v>1631</v>
      </c>
      <c r="J113" s="290" t="s">
        <v>1630</v>
      </c>
      <c r="K113" s="290" t="s">
        <v>1313</v>
      </c>
      <c r="L113" s="292">
        <v>1</v>
      </c>
      <c r="M113" s="293">
        <v>255136364</v>
      </c>
      <c r="N113" s="294">
        <v>255136364</v>
      </c>
      <c r="O113" s="294">
        <v>25513636</v>
      </c>
      <c r="P113" s="294">
        <v>0</v>
      </c>
      <c r="Q113" s="294">
        <v>280650000</v>
      </c>
      <c r="R113" s="293">
        <v>274909091</v>
      </c>
      <c r="S113" s="294">
        <v>274909091</v>
      </c>
      <c r="T113" s="290" t="s">
        <v>12</v>
      </c>
      <c r="U113" s="290" t="s">
        <v>1379</v>
      </c>
      <c r="V113" s="290" t="s">
        <v>11</v>
      </c>
      <c r="W113" s="290" t="s">
        <v>9</v>
      </c>
      <c r="X113" s="290" t="s">
        <v>16</v>
      </c>
      <c r="Y113" s="204" t="s">
        <v>1312</v>
      </c>
      <c r="Z113" s="313">
        <f t="shared" si="1"/>
        <v>302400000.10000002</v>
      </c>
      <c r="AA113" s="314">
        <f>VLOOKUP(H113,'Dự thu chiết khấu'!$L$4:$AB$204,17,0)-Z113</f>
        <v>-0.10000002384185791</v>
      </c>
    </row>
    <row r="114" spans="1:27" ht="10.5" hidden="1" customHeight="1">
      <c r="A114" s="289">
        <v>46133</v>
      </c>
      <c r="B114" s="290" t="s">
        <v>8</v>
      </c>
      <c r="C114" s="291" t="s">
        <v>1114</v>
      </c>
      <c r="D114" s="291" t="s">
        <v>1114</v>
      </c>
      <c r="E114" s="290" t="s">
        <v>1632</v>
      </c>
      <c r="F114" s="290" t="s">
        <v>686</v>
      </c>
      <c r="G114" s="290" t="s">
        <v>1633</v>
      </c>
      <c r="H114" s="204" t="str" cm="1">
        <f t="array" ref="H114">IFERROR(TRIM(LEFT(SUBSTITUTE(MID(G114,FIND("SK:",G114)+3,50),"-",REPT(" ",50)),50)),IFERROR(TRIM(LEFT(SUBSTITUTE(MID(J114,FIND("SK:",J114)+3,50),"-",REPT(" ",50)),50)),IFERROR(INDEX($H$6:$H$211,MATCH(1,(($I$6:$I$211=I114)*(ISNUMBER(SEARCH("SK:",$G$6:$G$211)))),0)),"")))</f>
        <v>RLLVFPNT4TH713186</v>
      </c>
      <c r="I114" s="290" t="s">
        <v>1634</v>
      </c>
      <c r="J114" s="290" t="s">
        <v>1633</v>
      </c>
      <c r="K114" s="290" t="s">
        <v>1313</v>
      </c>
      <c r="L114" s="292">
        <v>1</v>
      </c>
      <c r="M114" s="293">
        <v>608718182</v>
      </c>
      <c r="N114" s="294">
        <v>608718182</v>
      </c>
      <c r="O114" s="294">
        <v>60871818</v>
      </c>
      <c r="P114" s="294">
        <v>0</v>
      </c>
      <c r="Q114" s="294">
        <v>669590000</v>
      </c>
      <c r="R114" s="293">
        <v>653672727</v>
      </c>
      <c r="S114" s="294">
        <v>653672727</v>
      </c>
      <c r="T114" s="290" t="s">
        <v>12</v>
      </c>
      <c r="U114" s="290" t="s">
        <v>1314</v>
      </c>
      <c r="V114" s="290" t="s">
        <v>11</v>
      </c>
      <c r="W114" s="290" t="s">
        <v>9</v>
      </c>
      <c r="X114" s="290" t="s">
        <v>16</v>
      </c>
      <c r="Y114" s="204" t="s">
        <v>1312</v>
      </c>
      <c r="Z114" s="313">
        <f t="shared" si="1"/>
        <v>719039999.70000005</v>
      </c>
      <c r="AA114" s="314">
        <f>VLOOKUP(H114,'Dự thu chiết khấu'!$L$4:$AB$204,17,0)-Z114</f>
        <v>0.29999995231628418</v>
      </c>
    </row>
    <row r="115" spans="1:27" ht="10.5" hidden="1" customHeight="1">
      <c r="A115" s="289">
        <v>46133</v>
      </c>
      <c r="B115" s="290" t="s">
        <v>8</v>
      </c>
      <c r="C115" s="291" t="s">
        <v>1207</v>
      </c>
      <c r="D115" s="291" t="s">
        <v>1207</v>
      </c>
      <c r="E115" s="290" t="s">
        <v>1635</v>
      </c>
      <c r="F115" s="290" t="s">
        <v>731</v>
      </c>
      <c r="G115" s="290" t="s">
        <v>1636</v>
      </c>
      <c r="H115" s="204" t="str" cm="1">
        <f t="array" ref="H115">IFERROR(TRIM(LEFT(SUBSTITUTE(MID(G115,FIND("SK:",G115)+3,50),"-",REPT(" ",50)),50)),IFERROR(TRIM(LEFT(SUBSTITUTE(MID(J115,FIND("SK:",J115)+3,50),"-",REPT(" ",50)),50)),IFERROR(INDEX($H$6:$H$211,MATCH(1,(($I$6:$I$211=I115)*(ISNUMBER(SEARCH("SK:",$G$6:$G$211)))),0)),"")))</f>
        <v>RLNVBL9K9TT713467</v>
      </c>
      <c r="I115" s="290" t="s">
        <v>1637</v>
      </c>
      <c r="J115" s="290" t="s">
        <v>1636</v>
      </c>
      <c r="K115" s="290" t="s">
        <v>1313</v>
      </c>
      <c r="L115" s="292">
        <v>1</v>
      </c>
      <c r="M115" s="293">
        <v>258772727</v>
      </c>
      <c r="N115" s="294">
        <v>258772727</v>
      </c>
      <c r="O115" s="294">
        <v>25877273</v>
      </c>
      <c r="P115" s="294">
        <v>0</v>
      </c>
      <c r="Q115" s="294">
        <v>284650000</v>
      </c>
      <c r="R115" s="293">
        <v>274909091</v>
      </c>
      <c r="S115" s="294">
        <v>274909091</v>
      </c>
      <c r="T115" s="290" t="s">
        <v>12</v>
      </c>
      <c r="U115" s="290" t="s">
        <v>1314</v>
      </c>
      <c r="V115" s="290" t="s">
        <v>11</v>
      </c>
      <c r="W115" s="290" t="s">
        <v>9</v>
      </c>
      <c r="X115" s="290" t="s">
        <v>14</v>
      </c>
      <c r="Y115" s="204" t="s">
        <v>1312</v>
      </c>
      <c r="Z115" s="313">
        <f t="shared" si="1"/>
        <v>302400000.10000002</v>
      </c>
      <c r="AA115" s="314">
        <f>VLOOKUP(H115,'Dự thu chiết khấu'!$L$4:$AB$204,17,0)-Z115</f>
        <v>-0.10000002384185791</v>
      </c>
    </row>
    <row r="116" spans="1:27" ht="10.5" hidden="1" customHeight="1">
      <c r="A116" s="289">
        <v>46133</v>
      </c>
      <c r="B116" s="290" t="s">
        <v>8</v>
      </c>
      <c r="C116" s="291" t="s">
        <v>1115</v>
      </c>
      <c r="D116" s="291" t="s">
        <v>1115</v>
      </c>
      <c r="E116" s="290" t="s">
        <v>1638</v>
      </c>
      <c r="F116" s="290" t="s">
        <v>625</v>
      </c>
      <c r="G116" s="290" t="s">
        <v>1639</v>
      </c>
      <c r="H116" s="204" t="str" cm="1">
        <f t="array" ref="H116">IFERROR(TRIM(LEFT(SUBSTITUTE(MID(G116,FIND("SK:",G116)+3,50),"-",REPT(" ",50)),50)),IFERROR(TRIM(LEFT(SUBSTITUTE(MID(J116,FIND("SK:",J116)+3,50),"-",REPT(" ",50)),50)),IFERROR(INDEX($H$6:$H$211,MATCH(1,(($I$6:$I$211=I116)*(ISNUMBER(SEARCH("SK:",$G$6:$G$211)))),0)),"")))</f>
        <v>RLNVBL9K9TT712951</v>
      </c>
      <c r="I116" s="290" t="s">
        <v>1640</v>
      </c>
      <c r="J116" s="290" t="s">
        <v>1639</v>
      </c>
      <c r="K116" s="290" t="s">
        <v>1313</v>
      </c>
      <c r="L116" s="292">
        <v>1</v>
      </c>
      <c r="M116" s="293">
        <v>258318182</v>
      </c>
      <c r="N116" s="294">
        <v>258318182</v>
      </c>
      <c r="O116" s="294">
        <v>25831818</v>
      </c>
      <c r="P116" s="294">
        <v>0</v>
      </c>
      <c r="Q116" s="294">
        <v>284150000</v>
      </c>
      <c r="R116" s="293">
        <v>274909091</v>
      </c>
      <c r="S116" s="294">
        <v>274909091</v>
      </c>
      <c r="T116" s="290" t="s">
        <v>12</v>
      </c>
      <c r="U116" s="290" t="s">
        <v>1314</v>
      </c>
      <c r="V116" s="290" t="s">
        <v>11</v>
      </c>
      <c r="W116" s="290" t="s">
        <v>9</v>
      </c>
      <c r="X116" s="290" t="s">
        <v>14</v>
      </c>
      <c r="Y116" s="204" t="s">
        <v>1312</v>
      </c>
      <c r="Z116" s="313">
        <f t="shared" si="1"/>
        <v>302400000.10000002</v>
      </c>
      <c r="AA116" s="314">
        <f>VLOOKUP(H116,'Dự thu chiết khấu'!$L$4:$AB$204,17,0)-Z116</f>
        <v>-0.10000002384185791</v>
      </c>
    </row>
    <row r="117" spans="1:27" ht="10.5" hidden="1" customHeight="1">
      <c r="A117" s="289">
        <v>46133</v>
      </c>
      <c r="B117" s="290" t="s">
        <v>8</v>
      </c>
      <c r="C117" s="291" t="s">
        <v>1208</v>
      </c>
      <c r="D117" s="291" t="s">
        <v>1208</v>
      </c>
      <c r="E117" s="290" t="s">
        <v>1641</v>
      </c>
      <c r="F117" s="290" t="s">
        <v>635</v>
      </c>
      <c r="G117" s="290" t="s">
        <v>1642</v>
      </c>
      <c r="H117" s="204" t="str" cm="1">
        <f t="array" ref="H117">IFERROR(TRIM(LEFT(SUBSTITUTE(MID(G117,FIND("SK:",G117)+3,50),"-",REPT(" ",50)),50)),IFERROR(TRIM(LEFT(SUBSTITUTE(MID(J117,FIND("SK:",J117)+3,50),"-",REPT(" ",50)),50)),IFERROR(INDEX($H$6:$H$211,MATCH(1,(($I$6:$I$211=I117)*(ISNUMBER(SEARCH("SK:",$G$6:$G$211)))),0)),"")))</f>
        <v>RLNVBL9KXTT711856</v>
      </c>
      <c r="I117" s="290" t="s">
        <v>1643</v>
      </c>
      <c r="J117" s="290" t="s">
        <v>1642</v>
      </c>
      <c r="K117" s="290" t="s">
        <v>1313</v>
      </c>
      <c r="L117" s="292">
        <v>1</v>
      </c>
      <c r="M117" s="293">
        <v>269181818</v>
      </c>
      <c r="N117" s="294">
        <v>269181818</v>
      </c>
      <c r="O117" s="294">
        <v>26918182</v>
      </c>
      <c r="P117" s="294">
        <v>0</v>
      </c>
      <c r="Q117" s="294">
        <v>296100000</v>
      </c>
      <c r="R117" s="293">
        <v>274909091</v>
      </c>
      <c r="S117" s="294">
        <v>274909091</v>
      </c>
      <c r="T117" s="290" t="s">
        <v>12</v>
      </c>
      <c r="U117" s="290" t="s">
        <v>1334</v>
      </c>
      <c r="V117" s="290" t="s">
        <v>11</v>
      </c>
      <c r="W117" s="290" t="s">
        <v>9</v>
      </c>
      <c r="X117" s="290" t="s">
        <v>13</v>
      </c>
      <c r="Y117" s="204" t="s">
        <v>1312</v>
      </c>
      <c r="Z117" s="313">
        <f t="shared" si="1"/>
        <v>302400000.10000002</v>
      </c>
      <c r="AA117" s="314">
        <f>VLOOKUP(H117,'Dự thu chiết khấu'!$L$4:$AB$204,17,0)-Z117</f>
        <v>-0.10000002384185791</v>
      </c>
    </row>
    <row r="118" spans="1:27" ht="10.5" hidden="1" customHeight="1">
      <c r="A118" s="289">
        <v>46133</v>
      </c>
      <c r="B118" s="290" t="s">
        <v>8</v>
      </c>
      <c r="C118" s="291" t="s">
        <v>1112</v>
      </c>
      <c r="D118" s="291" t="s">
        <v>1112</v>
      </c>
      <c r="E118" s="290" t="s">
        <v>1644</v>
      </c>
      <c r="F118" s="290" t="s">
        <v>675</v>
      </c>
      <c r="G118" s="290" t="s">
        <v>1645</v>
      </c>
      <c r="H118" s="204" t="str" cm="1">
        <f t="array" ref="H118">IFERROR(TRIM(LEFT(SUBSTITUTE(MID(G118,FIND("SK:",G118)+3,50),"-",REPT(" ",50)),50)),IFERROR(TRIM(LEFT(SUBSTITUTE(MID(J118,FIND("SK:",J118)+3,50),"-",REPT(" ",50)),50)),IFERROR(INDEX($H$6:$H$211,MATCH(1,(($I$6:$I$211=I118)*(ISNUMBER(SEARCH("SK:",$G$6:$G$211)))),0)),"")))</f>
        <v>RLLV2CFA7TH742778</v>
      </c>
      <c r="I118" s="290" t="s">
        <v>1646</v>
      </c>
      <c r="J118" s="290" t="s">
        <v>1645</v>
      </c>
      <c r="K118" s="290" t="s">
        <v>1313</v>
      </c>
      <c r="L118" s="292">
        <v>1</v>
      </c>
      <c r="M118" s="293">
        <v>1314399409</v>
      </c>
      <c r="N118" s="294">
        <v>1314399409</v>
      </c>
      <c r="O118" s="294">
        <v>131439941</v>
      </c>
      <c r="P118" s="294">
        <v>0</v>
      </c>
      <c r="Q118" s="294">
        <v>1445839350</v>
      </c>
      <c r="R118" s="293">
        <v>1451872727</v>
      </c>
      <c r="S118" s="294">
        <v>1451872727</v>
      </c>
      <c r="T118" s="290" t="s">
        <v>12</v>
      </c>
      <c r="U118" s="290" t="s">
        <v>1314</v>
      </c>
      <c r="V118" s="290" t="s">
        <v>11</v>
      </c>
      <c r="W118" s="290" t="s">
        <v>9</v>
      </c>
      <c r="X118" s="290" t="s">
        <v>14</v>
      </c>
      <c r="Y118" s="204" t="s">
        <v>1312</v>
      </c>
      <c r="Z118" s="313">
        <f t="shared" si="1"/>
        <v>1597059999.7</v>
      </c>
      <c r="AA118" s="314">
        <f>VLOOKUP(H118,'Dự thu chiết khấu'!$L$4:$AB$204,17,0)-Z118</f>
        <v>0.29999995231628418</v>
      </c>
    </row>
    <row r="119" spans="1:27" ht="10.5" hidden="1" customHeight="1">
      <c r="A119" s="289">
        <v>46133</v>
      </c>
      <c r="B119" s="290" t="s">
        <v>8</v>
      </c>
      <c r="C119" s="291" t="s">
        <v>1113</v>
      </c>
      <c r="D119" s="291" t="s">
        <v>1113</v>
      </c>
      <c r="E119" s="290" t="s">
        <v>1647</v>
      </c>
      <c r="F119" s="290" t="s">
        <v>616</v>
      </c>
      <c r="G119" s="290" t="s">
        <v>1648</v>
      </c>
      <c r="H119" s="204" t="str" cm="1">
        <f t="array" ref="H119">IFERROR(TRIM(LEFT(SUBSTITUTE(MID(G119,FIND("SK:",G119)+3,50),"-",REPT(" ",50)),50)),IFERROR(TRIM(LEFT(SUBSTITUTE(MID(J119,FIND("SK:",J119)+3,50),"-",REPT(" ",50)),50)),IFERROR(INDEX($H$6:$H$211,MATCH(1,(($I$6:$I$211=I119)*(ISNUMBER(SEARCH("SK:",$G$6:$G$211)))),0)),"")))</f>
        <v>RLLVFPNT1TH747327</v>
      </c>
      <c r="I119" s="290" t="s">
        <v>1649</v>
      </c>
      <c r="J119" s="290" t="s">
        <v>1648</v>
      </c>
      <c r="K119" s="290" t="s">
        <v>1313</v>
      </c>
      <c r="L119" s="292">
        <v>1</v>
      </c>
      <c r="M119" s="293">
        <v>680909091</v>
      </c>
      <c r="N119" s="294">
        <v>680909091</v>
      </c>
      <c r="O119" s="294">
        <v>68090909</v>
      </c>
      <c r="P119" s="294">
        <v>0</v>
      </c>
      <c r="Q119" s="294">
        <v>749000000</v>
      </c>
      <c r="R119" s="293">
        <v>653672727</v>
      </c>
      <c r="S119" s="294">
        <v>653672727</v>
      </c>
      <c r="T119" s="290" t="s">
        <v>12</v>
      </c>
      <c r="U119" s="290" t="s">
        <v>1314</v>
      </c>
      <c r="V119" s="290" t="s">
        <v>11</v>
      </c>
      <c r="W119" s="290" t="s">
        <v>9</v>
      </c>
      <c r="X119" s="290" t="s">
        <v>14</v>
      </c>
      <c r="Y119" s="204" t="s">
        <v>1312</v>
      </c>
      <c r="Z119" s="313">
        <f t="shared" si="1"/>
        <v>719039999.70000005</v>
      </c>
      <c r="AA119" s="314">
        <f>VLOOKUP(H119,'Dự thu chiết khấu'!$L$4:$AB$204,17,0)-Z119</f>
        <v>0.29999995231628418</v>
      </c>
    </row>
    <row r="120" spans="1:27" ht="10.5" hidden="1" customHeight="1">
      <c r="A120" s="289">
        <v>46133</v>
      </c>
      <c r="B120" s="290" t="s">
        <v>8</v>
      </c>
      <c r="C120" s="291" t="s">
        <v>1209</v>
      </c>
      <c r="D120" s="291" t="s">
        <v>1209</v>
      </c>
      <c r="E120" s="290" t="s">
        <v>1650</v>
      </c>
      <c r="F120" s="290" t="s">
        <v>1210</v>
      </c>
      <c r="G120" s="290" t="s">
        <v>1651</v>
      </c>
      <c r="H120" s="204" t="str" cm="1">
        <f t="array" ref="H120">IFERROR(TRIM(LEFT(SUBSTITUTE(MID(G120,FIND("SK:",G120)+3,50),"-",REPT(" ",50)),50)),IFERROR(TRIM(LEFT(SUBSTITUTE(MID(J120,FIND("SK:",J120)+3,50),"-",REPT(" ",50)),50)),IFERROR(INDEX($H$6:$H$211,MATCH(1,(($I$6:$I$211=I120)*(ISNUMBER(SEARCH("SK:",$G$6:$G$211)))),0)),"")))</f>
        <v>RLLVFPTT1TH739229</v>
      </c>
      <c r="I120" s="290" t="s">
        <v>1652</v>
      </c>
      <c r="J120" s="290" t="s">
        <v>1651</v>
      </c>
      <c r="K120" s="290" t="s">
        <v>1313</v>
      </c>
      <c r="L120" s="292">
        <v>1</v>
      </c>
      <c r="M120" s="293">
        <v>735454545</v>
      </c>
      <c r="N120" s="294">
        <v>735454545</v>
      </c>
      <c r="O120" s="294">
        <v>73545455</v>
      </c>
      <c r="P120" s="294">
        <v>0</v>
      </c>
      <c r="Q120" s="294">
        <v>809000000</v>
      </c>
      <c r="R120" s="293">
        <v>714763636</v>
      </c>
      <c r="S120" s="294">
        <v>714763636</v>
      </c>
      <c r="T120" s="290" t="s">
        <v>12</v>
      </c>
      <c r="U120" s="290" t="s">
        <v>1314</v>
      </c>
      <c r="V120" s="290" t="s">
        <v>11</v>
      </c>
      <c r="W120" s="290" t="s">
        <v>9</v>
      </c>
      <c r="X120" s="290" t="s">
        <v>15</v>
      </c>
      <c r="Y120" s="204" t="s">
        <v>1312</v>
      </c>
      <c r="Z120" s="313">
        <f t="shared" si="1"/>
        <v>786239999.60000002</v>
      </c>
      <c r="AA120" s="314">
        <f>VLOOKUP(H120,'Dự thu chiết khấu'!$L$4:$AB$204,17,0)-Z120</f>
        <v>0.39999997615814209</v>
      </c>
    </row>
    <row r="121" spans="1:27" ht="10.5" hidden="1" customHeight="1">
      <c r="A121" s="289">
        <v>46133</v>
      </c>
      <c r="B121" s="290" t="s">
        <v>8</v>
      </c>
      <c r="C121" s="291" t="s">
        <v>1211</v>
      </c>
      <c r="D121" s="291" t="s">
        <v>1211</v>
      </c>
      <c r="E121" s="290" t="s">
        <v>1653</v>
      </c>
      <c r="F121" s="290" t="s">
        <v>1212</v>
      </c>
      <c r="G121" s="290" t="s">
        <v>1654</v>
      </c>
      <c r="H121" s="204" t="str" cm="1">
        <f t="array" ref="H121">IFERROR(TRIM(LEFT(SUBSTITUTE(MID(G121,FIND("SK:",G121)+3,50),"-",REPT(" ",50)),50)),IFERROR(TRIM(LEFT(SUBSTITUTE(MID(J121,FIND("SK:",J121)+3,50),"-",REPT(" ",50)),50)),IFERROR(INDEX($H$6:$H$211,MATCH(1,(($I$6:$I$211=I121)*(ISNUMBER(SEARCH("SK:",$G$6:$G$211)))),0)),"")))</f>
        <v>RLNVBL9K9TT715543</v>
      </c>
      <c r="I121" s="290" t="s">
        <v>1655</v>
      </c>
      <c r="J121" s="290" t="s">
        <v>1654</v>
      </c>
      <c r="K121" s="290" t="s">
        <v>1313</v>
      </c>
      <c r="L121" s="292">
        <v>1</v>
      </c>
      <c r="M121" s="293">
        <v>276018182</v>
      </c>
      <c r="N121" s="294">
        <v>276018182</v>
      </c>
      <c r="O121" s="294">
        <v>27601818</v>
      </c>
      <c r="P121" s="294">
        <v>0</v>
      </c>
      <c r="Q121" s="294">
        <v>303620000</v>
      </c>
      <c r="R121" s="293">
        <v>281890909</v>
      </c>
      <c r="S121" s="294">
        <v>281890909</v>
      </c>
      <c r="T121" s="290" t="s">
        <v>12</v>
      </c>
      <c r="U121" s="290" t="s">
        <v>1314</v>
      </c>
      <c r="V121" s="290" t="s">
        <v>11</v>
      </c>
      <c r="W121" s="290" t="s">
        <v>9</v>
      </c>
      <c r="X121" s="290" t="s">
        <v>15</v>
      </c>
      <c r="Y121" s="204" t="s">
        <v>1312</v>
      </c>
      <c r="Z121" s="313">
        <f t="shared" si="1"/>
        <v>310079999.90000004</v>
      </c>
      <c r="AA121" s="314">
        <f>VLOOKUP(H121,'Dự thu chiết khấu'!$L$4:$AB$204,17,0)-Z121</f>
        <v>9.9999964237213135E-2</v>
      </c>
    </row>
    <row r="122" spans="1:27" ht="10.5" hidden="1" customHeight="1">
      <c r="A122" s="289">
        <v>46133</v>
      </c>
      <c r="B122" s="290" t="s">
        <v>8</v>
      </c>
      <c r="C122" s="291" t="s">
        <v>1116</v>
      </c>
      <c r="D122" s="291" t="s">
        <v>1116</v>
      </c>
      <c r="E122" s="290" t="s">
        <v>1656</v>
      </c>
      <c r="F122" s="290" t="s">
        <v>1117</v>
      </c>
      <c r="G122" s="290" t="s">
        <v>1657</v>
      </c>
      <c r="H122" s="204" t="str" cm="1">
        <f t="array" ref="H122">IFERROR(TRIM(LEFT(SUBSTITUTE(MID(G122,FIND("SK:",G122)+3,50),"-",REPT(" ",50)),50)),IFERROR(TRIM(LEFT(SUBSTITUTE(MID(J122,FIND("SK:",J122)+3,50),"-",REPT(" ",50)),50)),IFERROR(INDEX($H$6:$H$211,MATCH(1,(($I$6:$I$211=I122)*(ISNUMBER(SEARCH("SK:",$G$6:$G$211)))),0)),"")))</f>
        <v>RLLVFPTT8TH731998</v>
      </c>
      <c r="I122" s="290" t="s">
        <v>1658</v>
      </c>
      <c r="J122" s="290" t="s">
        <v>1657</v>
      </c>
      <c r="K122" s="290" t="s">
        <v>1313</v>
      </c>
      <c r="L122" s="292">
        <v>1</v>
      </c>
      <c r="M122" s="293">
        <v>688963636</v>
      </c>
      <c r="N122" s="294">
        <v>688963636</v>
      </c>
      <c r="O122" s="294">
        <v>68896364</v>
      </c>
      <c r="P122" s="294">
        <v>0</v>
      </c>
      <c r="Q122" s="294">
        <v>757860000</v>
      </c>
      <c r="R122" s="293">
        <v>714763636</v>
      </c>
      <c r="S122" s="294">
        <v>714763636</v>
      </c>
      <c r="T122" s="290" t="s">
        <v>12</v>
      </c>
      <c r="U122" s="290" t="s">
        <v>1314</v>
      </c>
      <c r="V122" s="290" t="s">
        <v>11</v>
      </c>
      <c r="W122" s="290" t="s">
        <v>9</v>
      </c>
      <c r="X122" s="290" t="s">
        <v>15</v>
      </c>
      <c r="Y122" s="204" t="s">
        <v>1312</v>
      </c>
      <c r="Z122" s="313">
        <f t="shared" si="1"/>
        <v>786239999.60000002</v>
      </c>
      <c r="AA122" s="314">
        <f>VLOOKUP(H122,'Dự thu chiết khấu'!$L$4:$AB$204,17,0)-Z122</f>
        <v>0.39999997615814209</v>
      </c>
    </row>
    <row r="123" spans="1:27" ht="10.5" hidden="1" customHeight="1">
      <c r="A123" s="289">
        <v>46133</v>
      </c>
      <c r="B123" s="290" t="s">
        <v>8</v>
      </c>
      <c r="C123" s="291" t="s">
        <v>1118</v>
      </c>
      <c r="D123" s="291" t="s">
        <v>1118</v>
      </c>
      <c r="E123" s="290" t="s">
        <v>1659</v>
      </c>
      <c r="F123" s="290" t="s">
        <v>1119</v>
      </c>
      <c r="G123" s="290" t="s">
        <v>1660</v>
      </c>
      <c r="H123" s="204" t="str" cm="1">
        <f t="array" ref="H123">IFERROR(TRIM(LEFT(SUBSTITUTE(MID(G123,FIND("SK:",G123)+3,50),"-",REPT(" ",50)),50)),IFERROR(TRIM(LEFT(SUBSTITUTE(MID(J123,FIND("SK:",J123)+3,50),"-",REPT(" ",50)),50)),IFERROR(INDEX($H$6:$H$211,MATCH(1,(($I$6:$I$211=I123)*(ISNUMBER(SEARCH("SK:",$G$6:$G$211)))),0)),"")))</f>
        <v>RLLVFPTT7TH733757</v>
      </c>
      <c r="I123" s="290" t="s">
        <v>1661</v>
      </c>
      <c r="J123" s="290" t="s">
        <v>1660</v>
      </c>
      <c r="K123" s="290" t="s">
        <v>1313</v>
      </c>
      <c r="L123" s="292">
        <v>1</v>
      </c>
      <c r="M123" s="293">
        <v>688963636</v>
      </c>
      <c r="N123" s="294">
        <v>688963636</v>
      </c>
      <c r="O123" s="294">
        <v>68896364</v>
      </c>
      <c r="P123" s="294">
        <v>0</v>
      </c>
      <c r="Q123" s="294">
        <v>757860000</v>
      </c>
      <c r="R123" s="293">
        <v>714763636</v>
      </c>
      <c r="S123" s="294">
        <v>714763636</v>
      </c>
      <c r="T123" s="290" t="s">
        <v>12</v>
      </c>
      <c r="U123" s="290" t="s">
        <v>1314</v>
      </c>
      <c r="V123" s="290" t="s">
        <v>11</v>
      </c>
      <c r="W123" s="290" t="s">
        <v>9</v>
      </c>
      <c r="X123" s="290" t="s">
        <v>15</v>
      </c>
      <c r="Y123" s="204" t="s">
        <v>1312</v>
      </c>
      <c r="Z123" s="313">
        <f t="shared" si="1"/>
        <v>786239999.60000002</v>
      </c>
      <c r="AA123" s="314">
        <f>VLOOKUP(H123,'Dự thu chiết khấu'!$L$4:$AB$204,17,0)-Z123</f>
        <v>0.39999997615814209</v>
      </c>
    </row>
    <row r="124" spans="1:27" ht="10.5" hidden="1" customHeight="1">
      <c r="A124" s="289">
        <v>46133</v>
      </c>
      <c r="B124" s="290" t="s">
        <v>8</v>
      </c>
      <c r="C124" s="291" t="s">
        <v>1213</v>
      </c>
      <c r="D124" s="291" t="s">
        <v>1213</v>
      </c>
      <c r="E124" s="290" t="s">
        <v>1662</v>
      </c>
      <c r="F124" s="290" t="s">
        <v>852</v>
      </c>
      <c r="G124" s="290" t="s">
        <v>1663</v>
      </c>
      <c r="H124" s="204" t="str" cm="1">
        <f t="array" ref="H124">IFERROR(TRIM(LEFT(SUBSTITUTE(MID(G124,FIND("SK:",G124)+3,50),"-",REPT(" ",50)),50)),IFERROR(TRIM(LEFT(SUBSTITUTE(MID(J124,FIND("SK:",J124)+3,50),"-",REPT(" ",50)),50)),IFERROR(INDEX($H$6:$H$211,MATCH(1,(($I$6:$I$211=I124)*(ISNUMBER(SEARCH("SK:",$G$6:$G$211)))),0)),"")))</f>
        <v>RLLVFPTT8TH740510</v>
      </c>
      <c r="I124" s="290" t="s">
        <v>1664</v>
      </c>
      <c r="J124" s="290" t="s">
        <v>1663</v>
      </c>
      <c r="K124" s="290" t="s">
        <v>1313</v>
      </c>
      <c r="L124" s="292">
        <v>1</v>
      </c>
      <c r="M124" s="293">
        <v>677536364</v>
      </c>
      <c r="N124" s="294">
        <v>677536364</v>
      </c>
      <c r="O124" s="294">
        <v>67753636</v>
      </c>
      <c r="P124" s="294">
        <v>0</v>
      </c>
      <c r="Q124" s="294">
        <v>745290000</v>
      </c>
      <c r="R124" s="293">
        <v>714763636</v>
      </c>
      <c r="S124" s="294">
        <v>714763636</v>
      </c>
      <c r="T124" s="290" t="s">
        <v>12</v>
      </c>
      <c r="U124" s="290" t="s">
        <v>1318</v>
      </c>
      <c r="V124" s="290" t="s">
        <v>11</v>
      </c>
      <c r="W124" s="290" t="s">
        <v>9</v>
      </c>
      <c r="X124" s="290" t="s">
        <v>10</v>
      </c>
      <c r="Y124" s="204" t="s">
        <v>1312</v>
      </c>
      <c r="Z124" s="313">
        <f t="shared" si="1"/>
        <v>786239999.60000002</v>
      </c>
      <c r="AA124" s="314">
        <f>VLOOKUP(H124,'Dự thu chiết khấu'!$L$4:$AB$204,17,0)-Z124</f>
        <v>0.39999997615814209</v>
      </c>
    </row>
    <row r="125" spans="1:27" ht="10.5" hidden="1" customHeight="1">
      <c r="A125" s="289">
        <v>46133</v>
      </c>
      <c r="B125" s="290" t="s">
        <v>8</v>
      </c>
      <c r="C125" s="291" t="s">
        <v>1120</v>
      </c>
      <c r="D125" s="291" t="s">
        <v>1120</v>
      </c>
      <c r="E125" s="290" t="s">
        <v>1665</v>
      </c>
      <c r="F125" s="290" t="s">
        <v>692</v>
      </c>
      <c r="G125" s="290" t="s">
        <v>1666</v>
      </c>
      <c r="H125" s="204" t="str" cm="1">
        <f t="array" ref="H125">IFERROR(TRIM(LEFT(SUBSTITUTE(MID(G125,FIND("SK:",G125)+3,50),"-",REPT(" ",50)),50)),IFERROR(TRIM(LEFT(SUBSTITUTE(MID(J125,FIND("SK:",J125)+3,50),"-",REPT(" ",50)),50)),IFERROR(INDEX($H$6:$H$211,MATCH(1,(($I$6:$I$211=I125)*(ISNUMBER(SEARCH("SK:",$G$6:$G$211)))),0)),"")))</f>
        <v>RLNVBL9K0TT714135</v>
      </c>
      <c r="I125" s="290" t="s">
        <v>1667</v>
      </c>
      <c r="J125" s="290" t="s">
        <v>1666</v>
      </c>
      <c r="K125" s="290" t="s">
        <v>1313</v>
      </c>
      <c r="L125" s="292">
        <v>1</v>
      </c>
      <c r="M125" s="293">
        <v>260590909</v>
      </c>
      <c r="N125" s="294">
        <v>260590909</v>
      </c>
      <c r="O125" s="294">
        <v>26059091</v>
      </c>
      <c r="P125" s="294">
        <v>0</v>
      </c>
      <c r="Q125" s="294">
        <v>286650000</v>
      </c>
      <c r="R125" s="293">
        <v>274909091</v>
      </c>
      <c r="S125" s="294">
        <v>274909091</v>
      </c>
      <c r="T125" s="290" t="s">
        <v>12</v>
      </c>
      <c r="U125" s="290" t="s">
        <v>1314</v>
      </c>
      <c r="V125" s="290" t="s">
        <v>11</v>
      </c>
      <c r="W125" s="290" t="s">
        <v>9</v>
      </c>
      <c r="X125" s="290" t="s">
        <v>16</v>
      </c>
      <c r="Y125" s="204" t="s">
        <v>1312</v>
      </c>
      <c r="Z125" s="313">
        <f t="shared" si="1"/>
        <v>302400000.10000002</v>
      </c>
      <c r="AA125" s="314">
        <f>VLOOKUP(H125,'Dự thu chiết khấu'!$L$4:$AB$204,17,0)-Z125</f>
        <v>-0.10000002384185791</v>
      </c>
    </row>
    <row r="126" spans="1:27" ht="10.5" hidden="1" customHeight="1">
      <c r="A126" s="289">
        <v>46133</v>
      </c>
      <c r="B126" s="290" t="s">
        <v>8</v>
      </c>
      <c r="C126" s="291" t="s">
        <v>1215</v>
      </c>
      <c r="D126" s="291" t="s">
        <v>1215</v>
      </c>
      <c r="E126" s="290" t="s">
        <v>1668</v>
      </c>
      <c r="F126" s="290" t="s">
        <v>1216</v>
      </c>
      <c r="G126" s="290" t="s">
        <v>1669</v>
      </c>
      <c r="H126" s="204" t="str" cm="1">
        <f t="array" ref="H126">IFERROR(TRIM(LEFT(SUBSTITUTE(MID(G126,FIND("SK:",G126)+3,50),"-",REPT(" ",50)),50)),IFERROR(TRIM(LEFT(SUBSTITUTE(MID(J126,FIND("SK:",J126)+3,50),"-",REPT(" ",50)),50)),IFERROR(INDEX($H$6:$H$211,MATCH(1,(($I$6:$I$211=I126)*(ISNUMBER(SEARCH("SK:",$G$6:$G$211)))),0)),"")))</f>
        <v>RLLV3F5D7SH878174</v>
      </c>
      <c r="I126" s="290" t="s">
        <v>1670</v>
      </c>
      <c r="J126" s="290" t="s">
        <v>1669</v>
      </c>
      <c r="K126" s="290" t="s">
        <v>1313</v>
      </c>
      <c r="L126" s="292">
        <v>1</v>
      </c>
      <c r="M126" s="293">
        <v>606490909</v>
      </c>
      <c r="N126" s="294">
        <v>606490909</v>
      </c>
      <c r="O126" s="294">
        <v>60649091</v>
      </c>
      <c r="P126" s="294">
        <v>0</v>
      </c>
      <c r="Q126" s="294">
        <v>667140000</v>
      </c>
      <c r="R126" s="293">
        <v>693677273</v>
      </c>
      <c r="S126" s="294">
        <v>693677273</v>
      </c>
      <c r="T126" s="290" t="s">
        <v>12</v>
      </c>
      <c r="U126" s="290" t="s">
        <v>1314</v>
      </c>
      <c r="V126" s="290" t="s">
        <v>11</v>
      </c>
      <c r="W126" s="290" t="s">
        <v>9</v>
      </c>
      <c r="X126" s="290" t="s">
        <v>15</v>
      </c>
      <c r="Y126" s="204" t="s">
        <v>1312</v>
      </c>
      <c r="Z126" s="313">
        <f t="shared" si="1"/>
        <v>763045000.30000007</v>
      </c>
      <c r="AA126" s="314">
        <f>VLOOKUP(H126,'Dự thu chiết khấu'!$L$4:$AB$204,17,0)-Z126</f>
        <v>-0.30000007152557373</v>
      </c>
    </row>
    <row r="127" spans="1:27" ht="40">
      <c r="A127" s="289">
        <v>46134</v>
      </c>
      <c r="B127" s="290" t="s">
        <v>8</v>
      </c>
      <c r="C127" s="291" t="s">
        <v>1671</v>
      </c>
      <c r="D127" s="291" t="s">
        <v>1312</v>
      </c>
      <c r="E127" s="290" t="s">
        <v>1478</v>
      </c>
      <c r="F127" s="290" t="s">
        <v>462</v>
      </c>
      <c r="G127" s="290" t="s">
        <v>1672</v>
      </c>
      <c r="H127" s="204" t="str" cm="1">
        <f t="array" ref="H127">IFERROR(TRIM(LEFT(SUBSTITUTE(MID(G127,FIND("SK:",G127)+3,50),"-",REPT(" ",50)),50)),IFERROR(TRIM(LEFT(SUBSTITUTE(MID(J127,FIND("SK:",J127)+3,50),"-",REPT(" ",50)),50)),IFERROR(INDEX($H$6:$H$211,MATCH(1,(($I$6:$I$211=I127)*(ISNUMBER(SEARCH("SK:",$G$6:$G$211)))),0)),"")))</f>
        <v>RLLVFPNT0TH720314</v>
      </c>
      <c r="I127" s="290" t="s">
        <v>1480</v>
      </c>
      <c r="J127" s="290" t="s">
        <v>1479</v>
      </c>
      <c r="K127" s="290" t="s">
        <v>1313</v>
      </c>
      <c r="L127" s="292">
        <v>0</v>
      </c>
      <c r="M127" s="293">
        <v>0</v>
      </c>
      <c r="N127" s="294">
        <v>10909091</v>
      </c>
      <c r="O127" s="294">
        <v>1090909</v>
      </c>
      <c r="P127" s="294">
        <v>0</v>
      </c>
      <c r="Q127" s="294">
        <v>12000000</v>
      </c>
      <c r="R127" s="293">
        <v>0</v>
      </c>
      <c r="S127" s="294">
        <v>0</v>
      </c>
      <c r="T127" s="290" t="s">
        <v>12</v>
      </c>
      <c r="U127" s="290" t="s">
        <v>1314</v>
      </c>
      <c r="V127" s="290" t="s">
        <v>11</v>
      </c>
      <c r="W127" s="290" t="s">
        <v>9</v>
      </c>
      <c r="X127" s="290" t="s">
        <v>16</v>
      </c>
      <c r="Y127" s="204" t="s">
        <v>1312</v>
      </c>
      <c r="Z127" s="313">
        <f t="shared" si="1"/>
        <v>0</v>
      </c>
      <c r="AA127" s="314"/>
    </row>
    <row r="128" spans="1:27" ht="40">
      <c r="A128" s="289">
        <v>46134</v>
      </c>
      <c r="B128" s="290" t="s">
        <v>8</v>
      </c>
      <c r="C128" s="291" t="s">
        <v>1217</v>
      </c>
      <c r="D128" s="291" t="s">
        <v>1217</v>
      </c>
      <c r="E128" s="290" t="s">
        <v>1673</v>
      </c>
      <c r="F128" s="290" t="s">
        <v>855</v>
      </c>
      <c r="G128" s="290" t="s">
        <v>1674</v>
      </c>
      <c r="H128" s="204" t="str" cm="1">
        <f t="array" ref="H128">IFERROR(TRIM(LEFT(SUBSTITUTE(MID(G128,FIND("SK:",G128)+3,50),"-",REPT(" ",50)),50)),IFERROR(TRIM(LEFT(SUBSTITUTE(MID(J128,FIND("SK:",J128)+3,50),"-",REPT(" ",50)),50)),IFERROR(INDEX($H$6:$H$211,MATCH(1,(($I$6:$I$211=I128)*(ISNUMBER(SEARCH("SK:",$G$6:$G$211)))),0)),"")))</f>
        <v>RLLVFPTT7TH732625</v>
      </c>
      <c r="I128" s="290" t="s">
        <v>1675</v>
      </c>
      <c r="J128" s="290" t="s">
        <v>1674</v>
      </c>
      <c r="K128" s="290" t="s">
        <v>1313</v>
      </c>
      <c r="L128" s="292">
        <v>1</v>
      </c>
      <c r="M128" s="293">
        <v>690781818</v>
      </c>
      <c r="N128" s="294">
        <v>690781818</v>
      </c>
      <c r="O128" s="294">
        <v>69078182</v>
      </c>
      <c r="P128" s="294">
        <v>0</v>
      </c>
      <c r="Q128" s="294">
        <v>759860000</v>
      </c>
      <c r="R128" s="293">
        <v>714763636</v>
      </c>
      <c r="S128" s="294">
        <v>714763636</v>
      </c>
      <c r="T128" s="290" t="s">
        <v>12</v>
      </c>
      <c r="U128" s="290" t="s">
        <v>1318</v>
      </c>
      <c r="V128" s="290" t="s">
        <v>11</v>
      </c>
      <c r="W128" s="290" t="s">
        <v>9</v>
      </c>
      <c r="X128" s="290" t="s">
        <v>10</v>
      </c>
      <c r="Y128" s="204" t="s">
        <v>1312</v>
      </c>
      <c r="Z128" s="313">
        <f t="shared" si="1"/>
        <v>786239999.60000002</v>
      </c>
      <c r="AA128" s="314">
        <f>VLOOKUP(H128,'Dự thu chiết khấu'!$L$4:$AB$204,17,0)-Z128</f>
        <v>0.39999997615814209</v>
      </c>
    </row>
    <row r="129" spans="1:28" ht="50">
      <c r="A129" s="289">
        <v>46134</v>
      </c>
      <c r="B129" s="290" t="s">
        <v>8</v>
      </c>
      <c r="C129" s="291" t="s">
        <v>1218</v>
      </c>
      <c r="D129" s="291" t="s">
        <v>1218</v>
      </c>
      <c r="E129" s="290" t="s">
        <v>1676</v>
      </c>
      <c r="F129" s="290" t="s">
        <v>1219</v>
      </c>
      <c r="G129" s="290" t="s">
        <v>1677</v>
      </c>
      <c r="H129" s="204" t="str" cm="1">
        <f t="array" ref="H129">IFERROR(TRIM(LEFT(SUBSTITUTE(MID(G129,FIND("SK:",G129)+3,50),"-",REPT(" ",50)),50)),IFERROR(TRIM(LEFT(SUBSTITUTE(MID(J129,FIND("SK:",J129)+3,50),"-",REPT(" ",50)),50)),IFERROR(INDEX($H$6:$H$211,MATCH(1,(($I$6:$I$211=I129)*(ISNUMBER(SEARCH("SK:",$G$6:$G$211)))),0)),"")))</f>
        <v>RLNVBL9K9TT713517</v>
      </c>
      <c r="I129" s="290" t="s">
        <v>1678</v>
      </c>
      <c r="J129" s="290" t="s">
        <v>1677</v>
      </c>
      <c r="K129" s="290" t="s">
        <v>1313</v>
      </c>
      <c r="L129" s="292">
        <v>1</v>
      </c>
      <c r="M129" s="293">
        <v>254863636</v>
      </c>
      <c r="N129" s="294">
        <v>254863636</v>
      </c>
      <c r="O129" s="294">
        <v>25486364</v>
      </c>
      <c r="P129" s="294">
        <v>0</v>
      </c>
      <c r="Q129" s="294">
        <v>280350000</v>
      </c>
      <c r="R129" s="293">
        <v>274909091</v>
      </c>
      <c r="S129" s="294">
        <v>274909091</v>
      </c>
      <c r="T129" s="290" t="s">
        <v>12</v>
      </c>
      <c r="U129" s="290" t="s">
        <v>1314</v>
      </c>
      <c r="V129" s="290" t="s">
        <v>11</v>
      </c>
      <c r="W129" s="290" t="s">
        <v>9</v>
      </c>
      <c r="X129" s="290" t="s">
        <v>15</v>
      </c>
      <c r="Y129" s="204" t="s">
        <v>1312</v>
      </c>
      <c r="Z129" s="313">
        <f t="shared" si="1"/>
        <v>302400000.10000002</v>
      </c>
      <c r="AA129" s="314">
        <f>VLOOKUP(H129,'Dự thu chiết khấu'!$L$4:$AB$204,17,0)-Z129</f>
        <v>-0.10000002384185791</v>
      </c>
    </row>
    <row r="130" spans="1:28" ht="40">
      <c r="A130" s="289">
        <v>46134</v>
      </c>
      <c r="B130" s="290" t="s">
        <v>8</v>
      </c>
      <c r="C130" s="291" t="s">
        <v>1121</v>
      </c>
      <c r="D130" s="291" t="s">
        <v>1121</v>
      </c>
      <c r="E130" s="290" t="s">
        <v>1679</v>
      </c>
      <c r="F130" s="290" t="s">
        <v>1122</v>
      </c>
      <c r="G130" s="290" t="s">
        <v>1680</v>
      </c>
      <c r="H130" s="204" t="str" cm="1">
        <f t="array" ref="H130">IFERROR(TRIM(LEFT(SUBSTITUTE(MID(G130,FIND("SK:",G130)+3,50),"-",REPT(" ",50)),50)),IFERROR(TRIM(LEFT(SUBSTITUTE(MID(J130,FIND("SK:",J130)+3,50),"-",REPT(" ",50)),50)),IFERROR(INDEX($H$6:$H$211,MATCH(1,(($I$6:$I$211=I130)*(ISNUMBER(SEARCH("SK:",$G$6:$G$211)))),0)),"")))</f>
        <v>RLLVFPNTXTH742823</v>
      </c>
      <c r="I130" s="290" t="s">
        <v>1681</v>
      </c>
      <c r="J130" s="290" t="s">
        <v>1680</v>
      </c>
      <c r="K130" s="290" t="s">
        <v>1313</v>
      </c>
      <c r="L130" s="292">
        <v>1</v>
      </c>
      <c r="M130" s="293">
        <v>633690909</v>
      </c>
      <c r="N130" s="294">
        <v>633690909</v>
      </c>
      <c r="O130" s="294">
        <v>63369091</v>
      </c>
      <c r="P130" s="294">
        <v>0</v>
      </c>
      <c r="Q130" s="294">
        <v>697060000</v>
      </c>
      <c r="R130" s="293">
        <v>653672727</v>
      </c>
      <c r="S130" s="294">
        <v>653672727</v>
      </c>
      <c r="T130" s="290" t="s">
        <v>12</v>
      </c>
      <c r="U130" s="290" t="s">
        <v>1314</v>
      </c>
      <c r="V130" s="290" t="s">
        <v>11</v>
      </c>
      <c r="W130" s="290" t="s">
        <v>9</v>
      </c>
      <c r="X130" s="290" t="s">
        <v>14</v>
      </c>
      <c r="Y130" s="204" t="s">
        <v>1312</v>
      </c>
      <c r="Z130" s="313">
        <f t="shared" si="1"/>
        <v>719039999.70000005</v>
      </c>
      <c r="AA130" s="314">
        <f>VLOOKUP(H130,'Dự thu chiết khấu'!$L$4:$AB$204,17,0)-Z130</f>
        <v>0.29999995231628418</v>
      </c>
    </row>
    <row r="131" spans="1:28" ht="50">
      <c r="A131" s="289">
        <v>46134</v>
      </c>
      <c r="B131" s="290" t="s">
        <v>8</v>
      </c>
      <c r="C131" s="291" t="s">
        <v>1123</v>
      </c>
      <c r="D131" s="291" t="s">
        <v>1123</v>
      </c>
      <c r="E131" s="290" t="s">
        <v>1682</v>
      </c>
      <c r="F131" s="290" t="s">
        <v>1124</v>
      </c>
      <c r="G131" s="290" t="s">
        <v>1683</v>
      </c>
      <c r="H131" s="204" t="str" cm="1">
        <f t="array" ref="H131">IFERROR(TRIM(LEFT(SUBSTITUTE(MID(G131,FIND("SK:",G131)+3,50),"-",REPT(" ",50)),50)),IFERROR(TRIM(LEFT(SUBSTITUTE(MID(J131,FIND("SK:",J131)+3,50),"-",REPT(" ",50)),50)),IFERROR(INDEX($H$6:$H$211,MATCH(1,(($I$6:$I$211=I131)*(ISNUMBER(SEARCH("SK:",$G$6:$G$211)))),0)),"")))</f>
        <v>RLNVBL9K7TT712916</v>
      </c>
      <c r="I131" s="290" t="s">
        <v>1684</v>
      </c>
      <c r="J131" s="290" t="s">
        <v>1683</v>
      </c>
      <c r="K131" s="290" t="s">
        <v>1313</v>
      </c>
      <c r="L131" s="292">
        <v>1</v>
      </c>
      <c r="M131" s="293">
        <v>264636364</v>
      </c>
      <c r="N131" s="294">
        <v>264636364</v>
      </c>
      <c r="O131" s="294">
        <v>26463636</v>
      </c>
      <c r="P131" s="294">
        <v>0</v>
      </c>
      <c r="Q131" s="294">
        <v>291100000</v>
      </c>
      <c r="R131" s="293">
        <v>274909091</v>
      </c>
      <c r="S131" s="294">
        <v>274909091</v>
      </c>
      <c r="T131" s="290" t="s">
        <v>12</v>
      </c>
      <c r="U131" s="290" t="s">
        <v>1379</v>
      </c>
      <c r="V131" s="290" t="s">
        <v>11</v>
      </c>
      <c r="W131" s="290" t="s">
        <v>9</v>
      </c>
      <c r="X131" s="290" t="s">
        <v>16</v>
      </c>
      <c r="Y131" s="204" t="s">
        <v>1312</v>
      </c>
      <c r="Z131" s="313">
        <f t="shared" si="1"/>
        <v>302400000.10000002</v>
      </c>
      <c r="AA131" s="314">
        <f>VLOOKUP(H131,'Dự thu chiết khấu'!$L$4:$AB$204,17,0)-Z131</f>
        <v>-0.10000002384185791</v>
      </c>
    </row>
    <row r="132" spans="1:28" ht="40">
      <c r="A132" s="289">
        <v>46134</v>
      </c>
      <c r="B132" s="290" t="s">
        <v>8</v>
      </c>
      <c r="C132" s="291" t="s">
        <v>1220</v>
      </c>
      <c r="D132" s="291" t="s">
        <v>1220</v>
      </c>
      <c r="E132" s="290" t="s">
        <v>1685</v>
      </c>
      <c r="F132" s="290" t="s">
        <v>858</v>
      </c>
      <c r="G132" s="290" t="s">
        <v>1686</v>
      </c>
      <c r="H132" s="204" t="str" cm="1">
        <f t="array" ref="H132">IFERROR(TRIM(LEFT(SUBSTITUTE(MID(G132,FIND("SK:",G132)+3,50),"-",REPT(" ",50)),50)),IFERROR(TRIM(LEFT(SUBSTITUTE(MID(J132,FIND("SK:",J132)+3,50),"-",REPT(" ",50)),50)),IFERROR(INDEX($H$6:$H$211,MATCH(1,(($I$6:$I$211=I132)*(ISNUMBER(SEARCH("SK:",$G$6:$G$211)))),0)),"")))</f>
        <v>RLLVFPNT5TH713441</v>
      </c>
      <c r="I132" s="290" t="s">
        <v>1687</v>
      </c>
      <c r="J132" s="290" t="s">
        <v>1686</v>
      </c>
      <c r="K132" s="290" t="s">
        <v>1313</v>
      </c>
      <c r="L132" s="292">
        <v>1</v>
      </c>
      <c r="M132" s="293">
        <v>610536364</v>
      </c>
      <c r="N132" s="294">
        <v>610536364</v>
      </c>
      <c r="O132" s="294">
        <v>61053636</v>
      </c>
      <c r="P132" s="294">
        <v>0</v>
      </c>
      <c r="Q132" s="294">
        <v>671590000</v>
      </c>
      <c r="R132" s="293">
        <v>653672727</v>
      </c>
      <c r="S132" s="294">
        <v>653672727</v>
      </c>
      <c r="T132" s="290" t="s">
        <v>12</v>
      </c>
      <c r="U132" s="290" t="s">
        <v>1314</v>
      </c>
      <c r="V132" s="290" t="s">
        <v>11</v>
      </c>
      <c r="W132" s="290" t="s">
        <v>9</v>
      </c>
      <c r="X132" s="290" t="s">
        <v>10</v>
      </c>
      <c r="Y132" s="204" t="s">
        <v>1312</v>
      </c>
      <c r="Z132" s="313">
        <f t="shared" si="1"/>
        <v>719039999.70000005</v>
      </c>
      <c r="AA132" s="314">
        <f>VLOOKUP(H132,'Dự thu chiết khấu'!$L$4:$AB$204,17,0)-Z132</f>
        <v>0.29999995231628418</v>
      </c>
    </row>
    <row r="133" spans="1:28" ht="40">
      <c r="A133" s="289">
        <v>46134</v>
      </c>
      <c r="B133" s="290" t="s">
        <v>8</v>
      </c>
      <c r="C133" s="291" t="s">
        <v>1125</v>
      </c>
      <c r="D133" s="291" t="s">
        <v>1125</v>
      </c>
      <c r="E133" s="290" t="s">
        <v>1688</v>
      </c>
      <c r="F133" s="290" t="s">
        <v>864</v>
      </c>
      <c r="G133" s="290" t="s">
        <v>1689</v>
      </c>
      <c r="H133" s="204" t="str" cm="1">
        <f t="array" ref="H133">IFERROR(TRIM(LEFT(SUBSTITUTE(MID(G133,FIND("SK:",G133)+3,50),"-",REPT(" ",50)),50)),IFERROR(TRIM(LEFT(SUBSTITUTE(MID(J133,FIND("SK:",J133)+3,50),"-",REPT(" ",50)),50)),IFERROR(INDEX($H$6:$H$211,MATCH(1,(($I$6:$I$211=I133)*(ISNUMBER(SEARCH("SK:",$G$6:$G$211)))),0)),"")))</f>
        <v>RLLVFPNT7TH742245</v>
      </c>
      <c r="I133" s="290" t="s">
        <v>1690</v>
      </c>
      <c r="J133" s="290" t="s">
        <v>1689</v>
      </c>
      <c r="K133" s="290" t="s">
        <v>1313</v>
      </c>
      <c r="L133" s="292">
        <v>1</v>
      </c>
      <c r="M133" s="293">
        <v>608718182</v>
      </c>
      <c r="N133" s="294">
        <v>608718182</v>
      </c>
      <c r="O133" s="294">
        <v>60871818</v>
      </c>
      <c r="P133" s="294">
        <v>0</v>
      </c>
      <c r="Q133" s="294">
        <v>669590000</v>
      </c>
      <c r="R133" s="293">
        <v>653672727</v>
      </c>
      <c r="S133" s="294">
        <v>653672727</v>
      </c>
      <c r="T133" s="290" t="s">
        <v>12</v>
      </c>
      <c r="U133" s="290" t="s">
        <v>1318</v>
      </c>
      <c r="V133" s="290" t="s">
        <v>11</v>
      </c>
      <c r="W133" s="290" t="s">
        <v>9</v>
      </c>
      <c r="X133" s="290" t="s">
        <v>10</v>
      </c>
      <c r="Y133" s="204" t="s">
        <v>1312</v>
      </c>
      <c r="Z133" s="313">
        <f t="shared" si="1"/>
        <v>719039999.70000005</v>
      </c>
      <c r="AA133" s="314">
        <f>VLOOKUP(H133,'Dự thu chiết khấu'!$L$4:$AB$204,17,0)-Z133</f>
        <v>0.29999995231628418</v>
      </c>
    </row>
    <row r="134" spans="1:28" ht="40">
      <c r="A134" s="289">
        <v>46134</v>
      </c>
      <c r="B134" s="290" t="s">
        <v>8</v>
      </c>
      <c r="C134" s="291" t="s">
        <v>1126</v>
      </c>
      <c r="D134" s="291" t="s">
        <v>1126</v>
      </c>
      <c r="E134" s="290" t="s">
        <v>1691</v>
      </c>
      <c r="F134" s="290" t="s">
        <v>861</v>
      </c>
      <c r="G134" s="290" t="s">
        <v>1692</v>
      </c>
      <c r="H134" s="204" t="str" cm="1">
        <f t="array" ref="H134">IFERROR(TRIM(LEFT(SUBSTITUTE(MID(G134,FIND("SK:",G134)+3,50),"-",REPT(" ",50)),50)),IFERROR(TRIM(LEFT(SUBSTITUTE(MID(J134,FIND("SK:",J134)+3,50),"-",REPT(" ",50)),50)),IFERROR(INDEX($H$6:$H$211,MATCH(1,(($I$6:$I$211=I134)*(ISNUMBER(SEARCH("SK:",$G$6:$G$211)))),0)),"")))</f>
        <v>RLNVBL9K1TT712362</v>
      </c>
      <c r="I134" s="290" t="s">
        <v>1693</v>
      </c>
      <c r="J134" s="290" t="s">
        <v>1692</v>
      </c>
      <c r="K134" s="290" t="s">
        <v>1313</v>
      </c>
      <c r="L134" s="292">
        <v>1</v>
      </c>
      <c r="M134" s="293">
        <v>255136364</v>
      </c>
      <c r="N134" s="294">
        <v>255136364</v>
      </c>
      <c r="O134" s="294">
        <v>25513636</v>
      </c>
      <c r="P134" s="294">
        <v>0</v>
      </c>
      <c r="Q134" s="294">
        <v>280650000</v>
      </c>
      <c r="R134" s="293">
        <v>274909091</v>
      </c>
      <c r="S134" s="294">
        <v>274909091</v>
      </c>
      <c r="T134" s="290" t="s">
        <v>12</v>
      </c>
      <c r="U134" s="290" t="s">
        <v>1314</v>
      </c>
      <c r="V134" s="290" t="s">
        <v>11</v>
      </c>
      <c r="W134" s="290" t="s">
        <v>9</v>
      </c>
      <c r="X134" s="290" t="s">
        <v>10</v>
      </c>
      <c r="Y134" s="204" t="s">
        <v>1312</v>
      </c>
      <c r="Z134" s="313">
        <f t="shared" si="1"/>
        <v>302400000.10000002</v>
      </c>
      <c r="AA134" s="314">
        <f>VLOOKUP(H134,'Dự thu chiết khấu'!$L$4:$AB$204,17,0)-Z134</f>
        <v>-0.10000002384185791</v>
      </c>
    </row>
    <row r="135" spans="1:28" ht="16.5" customHeight="1">
      <c r="A135" s="289">
        <v>46135</v>
      </c>
      <c r="B135" s="290" t="s">
        <v>8</v>
      </c>
      <c r="C135" s="291" t="s">
        <v>1221</v>
      </c>
      <c r="D135" s="291" t="s">
        <v>1221</v>
      </c>
      <c r="E135" s="290" t="s">
        <v>1694</v>
      </c>
      <c r="F135" s="290" t="s">
        <v>149</v>
      </c>
      <c r="G135" s="290" t="s">
        <v>1695</v>
      </c>
      <c r="H135" s="204" t="str" cm="1">
        <f t="array" ref="H135">IFERROR(TRIM(LEFT(SUBSTITUTE(MID(G135,FIND("SK:",G135)+3,50),"-",REPT(" ",50)),50)),IFERROR(TRIM(LEFT(SUBSTITUTE(MID(J135,FIND("SK:",J135)+3,50),"-",REPT(" ",50)),50)),IFERROR(INDEX($H$6:$H$211,MATCH(1,(($I$6:$I$211=I135)*(ISNUMBER(SEARCH("SK:",$G$6:$G$211)))),0)),"")))</f>
        <v>RLLVFPTT8TH733007</v>
      </c>
      <c r="I135" s="290" t="s">
        <v>1696</v>
      </c>
      <c r="J135" s="290" t="s">
        <v>1695</v>
      </c>
      <c r="K135" s="290" t="s">
        <v>1313</v>
      </c>
      <c r="L135" s="292">
        <v>1</v>
      </c>
      <c r="M135" s="293">
        <v>663900000</v>
      </c>
      <c r="N135" s="294">
        <v>663900000</v>
      </c>
      <c r="O135" s="294">
        <v>66390000</v>
      </c>
      <c r="P135" s="294">
        <v>0</v>
      </c>
      <c r="Q135" s="294">
        <v>730290000</v>
      </c>
      <c r="R135" s="293">
        <v>684218181</v>
      </c>
      <c r="S135" s="294">
        <v>684218181</v>
      </c>
      <c r="T135" s="290" t="s">
        <v>12</v>
      </c>
      <c r="U135" s="290" t="s">
        <v>1314</v>
      </c>
      <c r="V135" s="290" t="s">
        <v>11</v>
      </c>
      <c r="W135" s="290" t="s">
        <v>9</v>
      </c>
      <c r="X135" s="290" t="s">
        <v>16</v>
      </c>
      <c r="Y135" s="204" t="s">
        <v>1312</v>
      </c>
      <c r="Z135" s="313">
        <f t="shared" ref="Z135:Z198" si="2">S135*1.1</f>
        <v>752639999.10000002</v>
      </c>
      <c r="AA135" s="314">
        <f>VLOOKUP(H135,'Dự thu chiết khấu'!$L$4:$AB$204,17,0)-Z135</f>
        <v>0.89999997615814209</v>
      </c>
      <c r="AB135" s="313">
        <v>752640000</v>
      </c>
    </row>
    <row r="136" spans="1:28" ht="10.5" hidden="1" customHeight="1">
      <c r="A136" s="289">
        <v>46135</v>
      </c>
      <c r="B136" s="290" t="s">
        <v>8</v>
      </c>
      <c r="C136" s="291" t="s">
        <v>1222</v>
      </c>
      <c r="D136" s="291" t="s">
        <v>1222</v>
      </c>
      <c r="E136" s="290" t="s">
        <v>1697</v>
      </c>
      <c r="F136" s="290" t="s">
        <v>870</v>
      </c>
      <c r="G136" s="290" t="s">
        <v>1698</v>
      </c>
      <c r="H136" s="204" t="str" cm="1">
        <f t="array" ref="H136">IFERROR(TRIM(LEFT(SUBSTITUTE(MID(G136,FIND("SK:",G136)+3,50),"-",REPT(" ",50)),50)),IFERROR(TRIM(LEFT(SUBSTITUTE(MID(J136,FIND("SK:",J136)+3,50),"-",REPT(" ",50)),50)),IFERROR(INDEX($H$6:$H$211,MATCH(1,(($I$6:$I$211=I136)*(ISNUMBER(SEARCH("SK:",$G$6:$G$211)))),0)),"")))</f>
        <v>RLNVBL9K3TT713934</v>
      </c>
      <c r="I136" s="290" t="s">
        <v>1699</v>
      </c>
      <c r="J136" s="290" t="s">
        <v>1698</v>
      </c>
      <c r="K136" s="290" t="s">
        <v>1313</v>
      </c>
      <c r="L136" s="292">
        <v>1</v>
      </c>
      <c r="M136" s="293">
        <v>269181818</v>
      </c>
      <c r="N136" s="294">
        <v>269181818</v>
      </c>
      <c r="O136" s="294">
        <v>26918182</v>
      </c>
      <c r="P136" s="294">
        <v>0</v>
      </c>
      <c r="Q136" s="294">
        <v>296100000</v>
      </c>
      <c r="R136" s="293">
        <v>274909091</v>
      </c>
      <c r="S136" s="294">
        <v>274909091</v>
      </c>
      <c r="T136" s="290" t="s">
        <v>12</v>
      </c>
      <c r="U136" s="290" t="s">
        <v>1318</v>
      </c>
      <c r="V136" s="290" t="s">
        <v>11</v>
      </c>
      <c r="W136" s="290" t="s">
        <v>9</v>
      </c>
      <c r="X136" s="290" t="s">
        <v>10</v>
      </c>
      <c r="Y136" s="204" t="s">
        <v>1312</v>
      </c>
      <c r="Z136" s="313">
        <f t="shared" si="2"/>
        <v>302400000.10000002</v>
      </c>
      <c r="AA136" s="314">
        <f>VLOOKUP(H136,'Dự thu chiết khấu'!$L$4:$AB$204,17,0)-Z136</f>
        <v>-0.10000002384185791</v>
      </c>
    </row>
    <row r="137" spans="1:28" ht="10.5" hidden="1" customHeight="1">
      <c r="A137" s="289">
        <v>46135</v>
      </c>
      <c r="B137" s="290" t="s">
        <v>8</v>
      </c>
      <c r="C137" s="291" t="s">
        <v>1223</v>
      </c>
      <c r="D137" s="291" t="s">
        <v>1223</v>
      </c>
      <c r="E137" s="290" t="s">
        <v>1700</v>
      </c>
      <c r="F137" s="290" t="s">
        <v>867</v>
      </c>
      <c r="G137" s="290" t="s">
        <v>1701</v>
      </c>
      <c r="H137" s="204" t="str" cm="1">
        <f t="array" ref="H137">IFERROR(TRIM(LEFT(SUBSTITUTE(MID(G137,FIND("SK:",G137)+3,50),"-",REPT(" ",50)),50)),IFERROR(TRIM(LEFT(SUBSTITUTE(MID(J137,FIND("SK:",J137)+3,50),"-",REPT(" ",50)),50)),IFERROR(INDEX($H$6:$H$211,MATCH(1,(($I$6:$I$211=I137)*(ISNUMBER(SEARCH("SK:",$G$6:$G$211)))),0)),"")))</f>
        <v>RLNVBL9K2TT701502</v>
      </c>
      <c r="I137" s="290" t="s">
        <v>1702</v>
      </c>
      <c r="J137" s="290" t="s">
        <v>1701</v>
      </c>
      <c r="K137" s="290" t="s">
        <v>1313</v>
      </c>
      <c r="L137" s="292">
        <v>1</v>
      </c>
      <c r="M137" s="293">
        <v>249836364</v>
      </c>
      <c r="N137" s="294">
        <v>249836364</v>
      </c>
      <c r="O137" s="294">
        <v>24983636</v>
      </c>
      <c r="P137" s="294">
        <v>0</v>
      </c>
      <c r="Q137" s="294">
        <v>274820000</v>
      </c>
      <c r="R137" s="293">
        <v>263563636</v>
      </c>
      <c r="S137" s="294">
        <v>263563636</v>
      </c>
      <c r="T137" s="290" t="s">
        <v>12</v>
      </c>
      <c r="U137" s="290" t="s">
        <v>1314</v>
      </c>
      <c r="V137" s="290" t="s">
        <v>11</v>
      </c>
      <c r="W137" s="290" t="s">
        <v>9</v>
      </c>
      <c r="X137" s="290" t="s">
        <v>10</v>
      </c>
      <c r="Y137" s="204" t="s">
        <v>1312</v>
      </c>
      <c r="Z137" s="313">
        <f t="shared" si="2"/>
        <v>289919999.60000002</v>
      </c>
      <c r="AA137" s="314">
        <f>VLOOKUP(H137,'Dự thu chiết khấu'!$L$4:$AB$204,17,0)-Z137</f>
        <v>0.39999997615814209</v>
      </c>
    </row>
    <row r="138" spans="1:28" ht="10.5" hidden="1" customHeight="1">
      <c r="A138" s="289">
        <v>46135</v>
      </c>
      <c r="B138" s="290" t="s">
        <v>8</v>
      </c>
      <c r="C138" s="291" t="s">
        <v>1127</v>
      </c>
      <c r="D138" s="291" t="s">
        <v>1127</v>
      </c>
      <c r="E138" s="290" t="s">
        <v>1703</v>
      </c>
      <c r="F138" s="290" t="s">
        <v>704</v>
      </c>
      <c r="G138" s="290" t="s">
        <v>1704</v>
      </c>
      <c r="H138" s="204" t="str" cm="1">
        <f t="array" ref="H138">IFERROR(TRIM(LEFT(SUBSTITUTE(MID(G138,FIND("SK:",G138)+3,50),"-",REPT(" ",50)),50)),IFERROR(TRIM(LEFT(SUBSTITUTE(MID(J138,FIND("SK:",J138)+3,50),"-",REPT(" ",50)),50)),IFERROR(INDEX($H$6:$H$211,MATCH(1,(($I$6:$I$211=I138)*(ISNUMBER(SEARCH("SK:",$G$6:$G$211)))),0)),"")))</f>
        <v>RLNV5JSE9TH736413</v>
      </c>
      <c r="I138" s="290" t="s">
        <v>1705</v>
      </c>
      <c r="J138" s="290" t="s">
        <v>1704</v>
      </c>
      <c r="K138" s="290" t="s">
        <v>1313</v>
      </c>
      <c r="L138" s="292">
        <v>1</v>
      </c>
      <c r="M138" s="293">
        <v>452054545</v>
      </c>
      <c r="N138" s="294">
        <v>452054545</v>
      </c>
      <c r="O138" s="294">
        <v>45205455</v>
      </c>
      <c r="P138" s="294">
        <v>0</v>
      </c>
      <c r="Q138" s="294">
        <v>497260000</v>
      </c>
      <c r="R138" s="293">
        <v>461672727</v>
      </c>
      <c r="S138" s="294">
        <v>461672727</v>
      </c>
      <c r="T138" s="290" t="s">
        <v>12</v>
      </c>
      <c r="U138" s="290" t="s">
        <v>1334</v>
      </c>
      <c r="V138" s="290" t="s">
        <v>11</v>
      </c>
      <c r="W138" s="290" t="s">
        <v>9</v>
      </c>
      <c r="X138" s="290" t="s">
        <v>13</v>
      </c>
      <c r="Y138" s="204" t="s">
        <v>1312</v>
      </c>
      <c r="Z138" s="313">
        <f t="shared" si="2"/>
        <v>507839999.70000005</v>
      </c>
      <c r="AA138" s="314">
        <f>VLOOKUP(H138,'Dự thu chiết khấu'!$L$4:$AB$204,17,0)-Z138</f>
        <v>0.29999995231628418</v>
      </c>
    </row>
    <row r="139" spans="1:28" ht="10.5" hidden="1" customHeight="1">
      <c r="A139" s="289">
        <v>46135</v>
      </c>
      <c r="B139" s="290" t="s">
        <v>8</v>
      </c>
      <c r="C139" s="291" t="s">
        <v>1128</v>
      </c>
      <c r="D139" s="291" t="s">
        <v>1128</v>
      </c>
      <c r="E139" s="290" t="s">
        <v>17</v>
      </c>
      <c r="F139" s="290" t="s">
        <v>18</v>
      </c>
      <c r="G139" s="290" t="s">
        <v>1706</v>
      </c>
      <c r="H139" s="204" t="str" cm="1">
        <f t="array" ref="H139">IFERROR(TRIM(LEFT(SUBSTITUTE(MID(G139,FIND("SK:",G139)+3,50),"-",REPT(" ",50)),50)),IFERROR(TRIM(LEFT(SUBSTITUTE(MID(J139,FIND("SK:",J139)+3,50),"-",REPT(" ",50)),50)),IFERROR(INDEX($H$6:$H$211,MATCH(1,(($I$6:$I$211=I139)*(ISNUMBER(SEARCH("SK:",$G$6:$G$211)))),0)),"")))</f>
        <v>RLLVFPNT8TH703602</v>
      </c>
      <c r="I139" s="290" t="s">
        <v>1707</v>
      </c>
      <c r="J139" s="290" t="s">
        <v>1706</v>
      </c>
      <c r="K139" s="290" t="s">
        <v>1313</v>
      </c>
      <c r="L139" s="292">
        <v>1</v>
      </c>
      <c r="M139" s="293">
        <v>616574591</v>
      </c>
      <c r="N139" s="294">
        <v>616574591</v>
      </c>
      <c r="O139" s="294">
        <v>61657459</v>
      </c>
      <c r="P139" s="294">
        <v>0</v>
      </c>
      <c r="Q139" s="294">
        <v>678232050</v>
      </c>
      <c r="R139" s="293">
        <v>653672727</v>
      </c>
      <c r="S139" s="294">
        <v>653672727</v>
      </c>
      <c r="T139" s="290" t="s">
        <v>12</v>
      </c>
      <c r="U139" s="290" t="s">
        <v>1334</v>
      </c>
      <c r="V139" s="290" t="s">
        <v>11</v>
      </c>
      <c r="W139" s="290" t="s">
        <v>9</v>
      </c>
      <c r="X139" s="290" t="s">
        <v>13</v>
      </c>
      <c r="Y139" s="204" t="s">
        <v>1312</v>
      </c>
      <c r="Z139" s="313">
        <f t="shared" si="2"/>
        <v>719039999.70000005</v>
      </c>
      <c r="AA139" s="314">
        <f>VLOOKUP(H139,'Dự thu chiết khấu'!$L$4:$AB$204,17,0)-Z139</f>
        <v>0.29999995231628418</v>
      </c>
    </row>
    <row r="140" spans="1:28" ht="10.5" hidden="1" customHeight="1">
      <c r="A140" s="289">
        <v>46135</v>
      </c>
      <c r="B140" s="290" t="s">
        <v>8</v>
      </c>
      <c r="C140" s="291" t="s">
        <v>1224</v>
      </c>
      <c r="D140" s="291" t="s">
        <v>1224</v>
      </c>
      <c r="E140" s="290" t="s">
        <v>1708</v>
      </c>
      <c r="F140" s="290" t="s">
        <v>1225</v>
      </c>
      <c r="G140" s="290" t="s">
        <v>1709</v>
      </c>
      <c r="H140" s="204" t="str" cm="1">
        <f t="array" ref="H140">IFERROR(TRIM(LEFT(SUBSTITUTE(MID(G140,FIND("SK:",G140)+3,50),"-",REPT(" ",50)),50)),IFERROR(TRIM(LEFT(SUBSTITUTE(MID(J140,FIND("SK:",J140)+3,50),"-",REPT(" ",50)),50)),IFERROR(INDEX($H$6:$H$211,MATCH(1,(($I$6:$I$211=I140)*(ISNUMBER(SEARCH("SK:",$G$6:$G$211)))),0)),"")))</f>
        <v>RLNVBL9K5TT712266</v>
      </c>
      <c r="I140" s="290" t="s">
        <v>1710</v>
      </c>
      <c r="J140" s="290" t="s">
        <v>1709</v>
      </c>
      <c r="K140" s="290" t="s">
        <v>1313</v>
      </c>
      <c r="L140" s="292">
        <v>1</v>
      </c>
      <c r="M140" s="293">
        <v>246272727</v>
      </c>
      <c r="N140" s="294">
        <v>246272727</v>
      </c>
      <c r="O140" s="294">
        <v>24627273</v>
      </c>
      <c r="P140" s="294">
        <v>0</v>
      </c>
      <c r="Q140" s="294">
        <v>270900000</v>
      </c>
      <c r="R140" s="293">
        <v>274909091</v>
      </c>
      <c r="S140" s="294">
        <v>274909091</v>
      </c>
      <c r="T140" s="290" t="s">
        <v>12</v>
      </c>
      <c r="U140" s="290" t="s">
        <v>1379</v>
      </c>
      <c r="V140" s="290" t="s">
        <v>11</v>
      </c>
      <c r="W140" s="290" t="s">
        <v>9</v>
      </c>
      <c r="X140" s="290" t="s">
        <v>15</v>
      </c>
      <c r="Y140" s="204" t="s">
        <v>1312</v>
      </c>
      <c r="Z140" s="313">
        <f t="shared" si="2"/>
        <v>302400000.10000002</v>
      </c>
      <c r="AA140" s="314">
        <f>VLOOKUP(H140,'Dự thu chiết khấu'!$L$4:$AB$204,17,0)-Z140</f>
        <v>-0.10000002384185791</v>
      </c>
    </row>
    <row r="141" spans="1:28" ht="10.5" hidden="1" customHeight="1">
      <c r="A141" s="289">
        <v>46135</v>
      </c>
      <c r="B141" s="290" t="s">
        <v>8</v>
      </c>
      <c r="C141" s="291" t="s">
        <v>1226</v>
      </c>
      <c r="D141" s="291" t="s">
        <v>1226</v>
      </c>
      <c r="E141" s="290" t="s">
        <v>1711</v>
      </c>
      <c r="F141" s="290" t="s">
        <v>745</v>
      </c>
      <c r="G141" s="290" t="s">
        <v>1712</v>
      </c>
      <c r="H141" s="204" t="str" cm="1">
        <f t="array" ref="H141">IFERROR(TRIM(LEFT(SUBSTITUTE(MID(G141,FIND("SK:",G141)+3,50),"-",REPT(" ",50)),50)),IFERROR(TRIM(LEFT(SUBSTITUTE(MID(J141,FIND("SK:",J141)+3,50),"-",REPT(" ",50)),50)),IFERROR(INDEX($H$6:$H$211,MATCH(1,(($I$6:$I$211=I141)*(ISNUMBER(SEARCH("SK:",$G$6:$G$211)))),0)),"")))</f>
        <v>RLNVBL9K2ST717441</v>
      </c>
      <c r="I141" s="290" t="s">
        <v>1713</v>
      </c>
      <c r="J141" s="290" t="s">
        <v>1712</v>
      </c>
      <c r="K141" s="290" t="s">
        <v>1313</v>
      </c>
      <c r="L141" s="292">
        <v>1</v>
      </c>
      <c r="M141" s="293">
        <v>243527273</v>
      </c>
      <c r="N141" s="294">
        <v>243527273</v>
      </c>
      <c r="O141" s="294">
        <v>24352727</v>
      </c>
      <c r="P141" s="294">
        <v>0</v>
      </c>
      <c r="Q141" s="294">
        <v>267880000</v>
      </c>
      <c r="R141" s="293">
        <v>270545455</v>
      </c>
      <c r="S141" s="294">
        <v>270545455</v>
      </c>
      <c r="T141" s="290" t="s">
        <v>12</v>
      </c>
      <c r="U141" s="290" t="s">
        <v>1314</v>
      </c>
      <c r="V141" s="290" t="s">
        <v>11</v>
      </c>
      <c r="W141" s="290" t="s">
        <v>9</v>
      </c>
      <c r="X141" s="290" t="s">
        <v>16</v>
      </c>
      <c r="Y141" s="204" t="s">
        <v>1312</v>
      </c>
      <c r="Z141" s="313">
        <f t="shared" si="2"/>
        <v>297600000.5</v>
      </c>
      <c r="AA141" s="314">
        <f>VLOOKUP(H141,'Dự thu chiết khấu'!$L$4:$AB$204,17,0)-Z141</f>
        <v>-0.5</v>
      </c>
    </row>
    <row r="142" spans="1:28" ht="10.5" hidden="1" customHeight="1">
      <c r="A142" s="289">
        <v>46135</v>
      </c>
      <c r="B142" s="290" t="s">
        <v>8</v>
      </c>
      <c r="C142" s="291" t="s">
        <v>1129</v>
      </c>
      <c r="D142" s="291" t="s">
        <v>1129</v>
      </c>
      <c r="E142" s="290" t="s">
        <v>1714</v>
      </c>
      <c r="F142" s="290" t="s">
        <v>701</v>
      </c>
      <c r="G142" s="290" t="s">
        <v>1715</v>
      </c>
      <c r="H142" s="204" t="str" cm="1">
        <f t="array" ref="H142">IFERROR(TRIM(LEFT(SUBSTITUTE(MID(G142,FIND("SK:",G142)+3,50),"-",REPT(" ",50)),50)),IFERROR(TRIM(LEFT(SUBSTITUTE(MID(J142,FIND("SK:",J142)+3,50),"-",REPT(" ",50)),50)),IFERROR(INDEX($H$6:$H$211,MATCH(1,(($I$6:$I$211=I142)*(ISNUMBER(SEARCH("SK:",$G$6:$G$211)))),0)),"")))</f>
        <v>RLNVBL9K7ST716401</v>
      </c>
      <c r="I142" s="290" t="s">
        <v>1716</v>
      </c>
      <c r="J142" s="290" t="s">
        <v>1715</v>
      </c>
      <c r="K142" s="290" t="s">
        <v>1313</v>
      </c>
      <c r="L142" s="292">
        <v>1</v>
      </c>
      <c r="M142" s="293">
        <v>248545455</v>
      </c>
      <c r="N142" s="294">
        <v>248545455</v>
      </c>
      <c r="O142" s="294">
        <v>24854545</v>
      </c>
      <c r="P142" s="294">
        <v>0</v>
      </c>
      <c r="Q142" s="294">
        <v>273400000</v>
      </c>
      <c r="R142" s="293">
        <v>270545455</v>
      </c>
      <c r="S142" s="294">
        <v>270545455</v>
      </c>
      <c r="T142" s="290" t="s">
        <v>12</v>
      </c>
      <c r="U142" s="290" t="s">
        <v>1318</v>
      </c>
      <c r="V142" s="290" t="s">
        <v>11</v>
      </c>
      <c r="W142" s="290" t="s">
        <v>9</v>
      </c>
      <c r="X142" s="290" t="s">
        <v>13</v>
      </c>
      <c r="Y142" s="204" t="s">
        <v>1312</v>
      </c>
      <c r="Z142" s="313">
        <f t="shared" si="2"/>
        <v>297600000.5</v>
      </c>
      <c r="AA142" s="314">
        <f>VLOOKUP(H142,'Dự thu chiết khấu'!$L$4:$AB$204,17,0)-Z142</f>
        <v>-0.5</v>
      </c>
    </row>
    <row r="143" spans="1:28" ht="10.5" hidden="1" customHeight="1">
      <c r="A143" s="289">
        <v>46135</v>
      </c>
      <c r="B143" s="290" t="s">
        <v>8</v>
      </c>
      <c r="C143" s="291" t="s">
        <v>1130</v>
      </c>
      <c r="D143" s="291" t="s">
        <v>1130</v>
      </c>
      <c r="E143" s="290" t="s">
        <v>1717</v>
      </c>
      <c r="F143" s="290" t="s">
        <v>698</v>
      </c>
      <c r="G143" s="290" t="s">
        <v>1718</v>
      </c>
      <c r="H143" s="204" t="str" cm="1">
        <f t="array" ref="H143">IFERROR(TRIM(LEFT(SUBSTITUTE(MID(G143,FIND("SK:",G143)+3,50),"-",REPT(" ",50)),50)),IFERROR(TRIM(LEFT(SUBSTITUTE(MID(J143,FIND("SK:",J143)+3,50),"-",REPT(" ",50)),50)),IFERROR(INDEX($H$6:$H$211,MATCH(1,(($I$6:$I$211=I143)*(ISNUMBER(SEARCH("SK:",$G$6:$G$211)))),0)),"")))</f>
        <v>RLLVFPNT9TH743719</v>
      </c>
      <c r="I143" s="290" t="s">
        <v>1719</v>
      </c>
      <c r="J143" s="290" t="s">
        <v>1718</v>
      </c>
      <c r="K143" s="290" t="s">
        <v>1313</v>
      </c>
      <c r="L143" s="292">
        <v>1</v>
      </c>
      <c r="M143" s="293">
        <v>613431000</v>
      </c>
      <c r="N143" s="294">
        <v>613431000</v>
      </c>
      <c r="O143" s="294">
        <v>61343100</v>
      </c>
      <c r="P143" s="294">
        <v>0</v>
      </c>
      <c r="Q143" s="294">
        <v>674774100</v>
      </c>
      <c r="R143" s="293">
        <v>653672727</v>
      </c>
      <c r="S143" s="294">
        <v>653672727</v>
      </c>
      <c r="T143" s="290" t="s">
        <v>12</v>
      </c>
      <c r="U143" s="290" t="s">
        <v>1334</v>
      </c>
      <c r="V143" s="290" t="s">
        <v>11</v>
      </c>
      <c r="W143" s="290" t="s">
        <v>9</v>
      </c>
      <c r="X143" s="290" t="s">
        <v>13</v>
      </c>
      <c r="Y143" s="204" t="s">
        <v>1312</v>
      </c>
      <c r="Z143" s="313">
        <f t="shared" si="2"/>
        <v>719039999.70000005</v>
      </c>
      <c r="AA143" s="314">
        <f>VLOOKUP(H143,'Dự thu chiết khấu'!$L$4:$AB$204,17,0)-Z143</f>
        <v>0.29999995231628418</v>
      </c>
    </row>
    <row r="144" spans="1:28" ht="10.5" hidden="1" customHeight="1">
      <c r="A144" s="289">
        <v>46135</v>
      </c>
      <c r="B144" s="290" t="s">
        <v>8</v>
      </c>
      <c r="C144" s="291" t="s">
        <v>1227</v>
      </c>
      <c r="D144" s="291" t="s">
        <v>1227</v>
      </c>
      <c r="E144" s="290" t="s">
        <v>1720</v>
      </c>
      <c r="F144" s="290" t="s">
        <v>1228</v>
      </c>
      <c r="G144" s="290" t="s">
        <v>1721</v>
      </c>
      <c r="H144" s="204" t="str" cm="1">
        <f t="array" ref="H144">IFERROR(TRIM(LEFT(SUBSTITUTE(MID(G144,FIND("SK:",G144)+3,50),"-",REPT(" ",50)),50)),IFERROR(TRIM(LEFT(SUBSTITUTE(MID(J144,FIND("SK:",J144)+3,50),"-",REPT(" ",50)),50)),IFERROR(INDEX($H$6:$H$211,MATCH(1,(($I$6:$I$211=I144)*(ISNUMBER(SEARCH("SK:",$G$6:$G$211)))),0)),"")))</f>
        <v>RLNVBL9K9TT713419</v>
      </c>
      <c r="I144" s="290" t="s">
        <v>1722</v>
      </c>
      <c r="J144" s="290" t="s">
        <v>1721</v>
      </c>
      <c r="K144" s="290" t="s">
        <v>1313</v>
      </c>
      <c r="L144" s="292">
        <v>1</v>
      </c>
      <c r="M144" s="293">
        <v>271472727</v>
      </c>
      <c r="N144" s="294">
        <v>271472727</v>
      </c>
      <c r="O144" s="294">
        <v>27147273</v>
      </c>
      <c r="P144" s="294">
        <v>0</v>
      </c>
      <c r="Q144" s="294">
        <v>298620000</v>
      </c>
      <c r="R144" s="293">
        <v>281890909</v>
      </c>
      <c r="S144" s="294">
        <v>281890909</v>
      </c>
      <c r="T144" s="290" t="s">
        <v>12</v>
      </c>
      <c r="U144" s="290" t="s">
        <v>1314</v>
      </c>
      <c r="V144" s="290" t="s">
        <v>11</v>
      </c>
      <c r="W144" s="290" t="s">
        <v>9</v>
      </c>
      <c r="X144" s="290" t="s">
        <v>15</v>
      </c>
      <c r="Y144" s="204" t="s">
        <v>1312</v>
      </c>
      <c r="Z144" s="313">
        <f t="shared" si="2"/>
        <v>310079999.90000004</v>
      </c>
      <c r="AA144" s="314">
        <f>VLOOKUP(H144,'Dự thu chiết khấu'!$L$4:$AB$204,17,0)-Z144</f>
        <v>9.9999964237213135E-2</v>
      </c>
    </row>
    <row r="145" spans="1:27" ht="10.5" hidden="1" customHeight="1">
      <c r="A145" s="289">
        <v>46135</v>
      </c>
      <c r="B145" s="290" t="s">
        <v>8</v>
      </c>
      <c r="C145" s="291" t="s">
        <v>1131</v>
      </c>
      <c r="D145" s="291" t="s">
        <v>1131</v>
      </c>
      <c r="E145" s="290" t="s">
        <v>1723</v>
      </c>
      <c r="F145" s="290" t="s">
        <v>1132</v>
      </c>
      <c r="G145" s="290" t="s">
        <v>1724</v>
      </c>
      <c r="H145" s="204" t="str" cm="1">
        <f t="array" ref="H145">IFERROR(TRIM(LEFT(SUBSTITUTE(MID(G145,FIND("SK:",G145)+3,50),"-",REPT(" ",50)),50)),IFERROR(TRIM(LEFT(SUBSTITUTE(MID(J145,FIND("SK:",J145)+3,50),"-",REPT(" ",50)),50)),IFERROR(INDEX($H$6:$H$211,MATCH(1,(($I$6:$I$211=I145)*(ISNUMBER(SEARCH("SK:",$G$6:$G$211)))),0)),"")))</f>
        <v>RLLVFPNT8TH742285</v>
      </c>
      <c r="I145" s="290" t="s">
        <v>1725</v>
      </c>
      <c r="J145" s="290" t="s">
        <v>1724</v>
      </c>
      <c r="K145" s="290" t="s">
        <v>1313</v>
      </c>
      <c r="L145" s="292">
        <v>1</v>
      </c>
      <c r="M145" s="293">
        <v>632781818</v>
      </c>
      <c r="N145" s="294">
        <v>632781818</v>
      </c>
      <c r="O145" s="294">
        <v>63278182</v>
      </c>
      <c r="P145" s="294">
        <v>0</v>
      </c>
      <c r="Q145" s="294">
        <v>696060000</v>
      </c>
      <c r="R145" s="293">
        <v>653672727</v>
      </c>
      <c r="S145" s="294">
        <v>653672727</v>
      </c>
      <c r="T145" s="290" t="s">
        <v>12</v>
      </c>
      <c r="U145" s="290" t="s">
        <v>1334</v>
      </c>
      <c r="V145" s="290" t="s">
        <v>11</v>
      </c>
      <c r="W145" s="290" t="s">
        <v>9</v>
      </c>
      <c r="X145" s="290" t="s">
        <v>14</v>
      </c>
      <c r="Y145" s="204" t="s">
        <v>1312</v>
      </c>
      <c r="Z145" s="313">
        <f t="shared" si="2"/>
        <v>719039999.70000005</v>
      </c>
      <c r="AA145" s="314">
        <f>VLOOKUP(H145,'Dự thu chiết khấu'!$L$4:$AB$204,17,0)-Z145</f>
        <v>0.29999995231628418</v>
      </c>
    </row>
    <row r="146" spans="1:27" ht="10.5" hidden="1" customHeight="1">
      <c r="A146" s="289">
        <v>46135</v>
      </c>
      <c r="B146" s="290" t="s">
        <v>8</v>
      </c>
      <c r="C146" s="291" t="s">
        <v>1229</v>
      </c>
      <c r="D146" s="291" t="s">
        <v>1229</v>
      </c>
      <c r="E146" s="290" t="s">
        <v>1726</v>
      </c>
      <c r="F146" s="290" t="s">
        <v>714</v>
      </c>
      <c r="G146" s="290" t="s">
        <v>1727</v>
      </c>
      <c r="H146" s="204" t="str" cm="1">
        <f t="array" ref="H146">IFERROR(TRIM(LEFT(SUBSTITUTE(MID(G146,FIND("SK:",G146)+3,50),"-",REPT(" ",50)),50)),IFERROR(TRIM(LEFT(SUBSTITUTE(MID(J146,FIND("SK:",J146)+3,50),"-",REPT(" ",50)),50)),IFERROR(INDEX($H$6:$H$211,MATCH(1,(($I$6:$I$211=I146)*(ISNUMBER(SEARCH("SK:",$G$6:$G$211)))),0)),"")))</f>
        <v>RLNV5JSE1TH743467</v>
      </c>
      <c r="I146" s="290" t="s">
        <v>1728</v>
      </c>
      <c r="J146" s="290" t="s">
        <v>1727</v>
      </c>
      <c r="K146" s="290" t="s">
        <v>1313</v>
      </c>
      <c r="L146" s="292">
        <v>1</v>
      </c>
      <c r="M146" s="293">
        <v>426348227</v>
      </c>
      <c r="N146" s="294">
        <v>426348227</v>
      </c>
      <c r="O146" s="294">
        <v>42634823</v>
      </c>
      <c r="P146" s="294">
        <v>0</v>
      </c>
      <c r="Q146" s="294">
        <v>468983050</v>
      </c>
      <c r="R146" s="293">
        <v>461672727</v>
      </c>
      <c r="S146" s="294">
        <v>461672727</v>
      </c>
      <c r="T146" s="290" t="s">
        <v>12</v>
      </c>
      <c r="U146" s="290" t="s">
        <v>1314</v>
      </c>
      <c r="V146" s="290" t="s">
        <v>11</v>
      </c>
      <c r="W146" s="290" t="s">
        <v>9</v>
      </c>
      <c r="X146" s="290" t="s">
        <v>14</v>
      </c>
      <c r="Y146" s="204" t="s">
        <v>1312</v>
      </c>
      <c r="Z146" s="313">
        <f t="shared" si="2"/>
        <v>507839999.70000005</v>
      </c>
      <c r="AA146" s="314">
        <f>VLOOKUP(H146,'Dự thu chiết khấu'!$L$4:$AB$204,17,0)-Z146</f>
        <v>0.29999995231628418</v>
      </c>
    </row>
    <row r="147" spans="1:27" ht="10.5" hidden="1" customHeight="1">
      <c r="A147" s="289">
        <v>46135</v>
      </c>
      <c r="B147" s="290" t="s">
        <v>8</v>
      </c>
      <c r="C147" s="291" t="s">
        <v>1133</v>
      </c>
      <c r="D147" s="291" t="s">
        <v>1133</v>
      </c>
      <c r="E147" s="290" t="s">
        <v>1729</v>
      </c>
      <c r="F147" s="290" t="s">
        <v>1134</v>
      </c>
      <c r="G147" s="290" t="s">
        <v>1730</v>
      </c>
      <c r="H147" s="204" t="str" cm="1">
        <f t="array" ref="H147">IFERROR(TRIM(LEFT(SUBSTITUTE(MID(G147,FIND("SK:",G147)+3,50),"-",REPT(" ",50)),50)),IFERROR(TRIM(LEFT(SUBSTITUTE(MID(J147,FIND("SK:",J147)+3,50),"-",REPT(" ",50)),50)),IFERROR(INDEX($H$6:$H$211,MATCH(1,(($I$6:$I$211=I147)*(ISNUMBER(SEARCH("SK:",$G$6:$G$211)))),0)),"")))</f>
        <v>RLLVFPNT8TH747213</v>
      </c>
      <c r="I147" s="290" t="s">
        <v>1731</v>
      </c>
      <c r="J147" s="290" t="s">
        <v>1730</v>
      </c>
      <c r="K147" s="290" t="s">
        <v>1313</v>
      </c>
      <c r="L147" s="292">
        <v>1</v>
      </c>
      <c r="M147" s="293">
        <v>629145455</v>
      </c>
      <c r="N147" s="294">
        <v>629145455</v>
      </c>
      <c r="O147" s="294">
        <v>62914545</v>
      </c>
      <c r="P147" s="294">
        <v>0</v>
      </c>
      <c r="Q147" s="294">
        <v>692060000</v>
      </c>
      <c r="R147" s="293">
        <v>653672727</v>
      </c>
      <c r="S147" s="294">
        <v>653672727</v>
      </c>
      <c r="T147" s="290" t="s">
        <v>12</v>
      </c>
      <c r="U147" s="290" t="s">
        <v>1314</v>
      </c>
      <c r="V147" s="290" t="s">
        <v>11</v>
      </c>
      <c r="W147" s="290" t="s">
        <v>9</v>
      </c>
      <c r="X147" s="290" t="s">
        <v>15</v>
      </c>
      <c r="Y147" s="204" t="s">
        <v>1312</v>
      </c>
      <c r="Z147" s="313">
        <f t="shared" si="2"/>
        <v>719039999.70000005</v>
      </c>
      <c r="AA147" s="314">
        <f>VLOOKUP(H147,'Dự thu chiết khấu'!$L$4:$AB$204,17,0)-Z147</f>
        <v>0.29999995231628418</v>
      </c>
    </row>
    <row r="148" spans="1:27" ht="10.5" hidden="1" customHeight="1">
      <c r="A148" s="289">
        <v>46136</v>
      </c>
      <c r="B148" s="290" t="s">
        <v>8</v>
      </c>
      <c r="C148" s="291" t="s">
        <v>1230</v>
      </c>
      <c r="D148" s="291" t="s">
        <v>1230</v>
      </c>
      <c r="E148" s="290" t="s">
        <v>1732</v>
      </c>
      <c r="F148" s="290" t="s">
        <v>1231</v>
      </c>
      <c r="G148" s="290" t="s">
        <v>1733</v>
      </c>
      <c r="H148" s="204" t="str" cm="1">
        <f t="array" ref="H148">IFERROR(TRIM(LEFT(SUBSTITUTE(MID(G148,FIND("SK:",G148)+3,50),"-",REPT(" ",50)),50)),IFERROR(TRIM(LEFT(SUBSTITUTE(MID(J148,FIND("SK:",J148)+3,50),"-",REPT(" ",50)),50)),IFERROR(INDEX($H$6:$H$211,MATCH(1,(($I$6:$I$211=I148)*(ISNUMBER(SEARCH("SK:",$G$6:$G$211)))),0)),"")))</f>
        <v>RLLVFPTTXTH739732</v>
      </c>
      <c r="I148" s="290" t="s">
        <v>1734</v>
      </c>
      <c r="J148" s="290" t="s">
        <v>1733</v>
      </c>
      <c r="K148" s="290" t="s">
        <v>1313</v>
      </c>
      <c r="L148" s="292">
        <v>1</v>
      </c>
      <c r="M148" s="293">
        <v>640309091</v>
      </c>
      <c r="N148" s="294">
        <v>640309091</v>
      </c>
      <c r="O148" s="294">
        <v>64030909</v>
      </c>
      <c r="P148" s="294">
        <v>0</v>
      </c>
      <c r="Q148" s="294">
        <v>704340000</v>
      </c>
      <c r="R148" s="293">
        <v>714763636</v>
      </c>
      <c r="S148" s="294">
        <v>714763636</v>
      </c>
      <c r="T148" s="290" t="s">
        <v>12</v>
      </c>
      <c r="U148" s="290" t="s">
        <v>1314</v>
      </c>
      <c r="V148" s="290" t="s">
        <v>11</v>
      </c>
      <c r="W148" s="290" t="s">
        <v>9</v>
      </c>
      <c r="X148" s="290" t="s">
        <v>15</v>
      </c>
      <c r="Y148" s="204" t="s">
        <v>1312</v>
      </c>
      <c r="Z148" s="313">
        <f t="shared" si="2"/>
        <v>786239999.60000002</v>
      </c>
      <c r="AA148" s="314">
        <f>VLOOKUP(H148,'Dự thu chiết khấu'!$L$4:$AB$204,17,0)-Z148</f>
        <v>0.39999997615814209</v>
      </c>
    </row>
    <row r="149" spans="1:27" ht="10.5" hidden="1" customHeight="1">
      <c r="A149" s="289">
        <v>46136</v>
      </c>
      <c r="B149" s="290" t="s">
        <v>8</v>
      </c>
      <c r="C149" s="291" t="s">
        <v>1232</v>
      </c>
      <c r="D149" s="291" t="s">
        <v>1232</v>
      </c>
      <c r="E149" s="290" t="s">
        <v>1735</v>
      </c>
      <c r="F149" s="290" t="s">
        <v>753</v>
      </c>
      <c r="G149" s="290" t="s">
        <v>1736</v>
      </c>
      <c r="H149" s="204" t="str" cm="1">
        <f t="array" ref="H149">IFERROR(TRIM(LEFT(SUBSTITUTE(MID(G149,FIND("SK:",G149)+3,50),"-",REPT(" ",50)),50)),IFERROR(TRIM(LEFT(SUBSTITUTE(MID(J149,FIND("SK:",J149)+3,50),"-",REPT(" ",50)),50)),IFERROR(INDEX($H$6:$H$211,MATCH(1,(($I$6:$I$211=I149)*(ISNUMBER(SEARCH("SK:",$G$6:$G$211)))),0)),"")))</f>
        <v>RLNV5JSE6TH710660</v>
      </c>
      <c r="I149" s="290" t="s">
        <v>1737</v>
      </c>
      <c r="J149" s="290" t="s">
        <v>1736</v>
      </c>
      <c r="K149" s="290" t="s">
        <v>1313</v>
      </c>
      <c r="L149" s="292">
        <v>1</v>
      </c>
      <c r="M149" s="293">
        <v>435154545</v>
      </c>
      <c r="N149" s="294">
        <v>435154545</v>
      </c>
      <c r="O149" s="294">
        <v>43515455</v>
      </c>
      <c r="P149" s="294">
        <v>0</v>
      </c>
      <c r="Q149" s="294">
        <v>478670000</v>
      </c>
      <c r="R149" s="293">
        <v>468654545</v>
      </c>
      <c r="S149" s="294">
        <v>468654545</v>
      </c>
      <c r="T149" s="290" t="s">
        <v>12</v>
      </c>
      <c r="U149" s="290" t="s">
        <v>1314</v>
      </c>
      <c r="V149" s="290" t="s">
        <v>11</v>
      </c>
      <c r="W149" s="290" t="s">
        <v>9</v>
      </c>
      <c r="X149" s="290" t="s">
        <v>16</v>
      </c>
      <c r="Y149" s="204" t="s">
        <v>1312</v>
      </c>
      <c r="Z149" s="313">
        <f t="shared" si="2"/>
        <v>515519999.50000006</v>
      </c>
      <c r="AA149" s="314">
        <f>VLOOKUP(H149,'Dự thu chiết khấu'!$L$4:$AB$204,17,0)-Z149</f>
        <v>0.49999994039535522</v>
      </c>
    </row>
    <row r="150" spans="1:27" ht="10.5" hidden="1" customHeight="1">
      <c r="A150" s="289">
        <v>46136</v>
      </c>
      <c r="B150" s="290" t="s">
        <v>8</v>
      </c>
      <c r="C150" s="291" t="s">
        <v>1234</v>
      </c>
      <c r="D150" s="291" t="s">
        <v>1234</v>
      </c>
      <c r="E150" s="290" t="s">
        <v>1738</v>
      </c>
      <c r="F150" s="290" t="s">
        <v>749</v>
      </c>
      <c r="G150" s="290" t="s">
        <v>1739</v>
      </c>
      <c r="H150" s="204" t="str" cm="1">
        <f t="array" ref="H150">IFERROR(TRIM(LEFT(SUBSTITUTE(MID(G150,FIND("SK:",G150)+3,50),"-",REPT(" ",50)),50)),IFERROR(TRIM(LEFT(SUBSTITUTE(MID(J150,FIND("SK:",J150)+3,50),"-",REPT(" ",50)),50)),IFERROR(INDEX($H$6:$H$211,MATCH(1,(($I$6:$I$211=I150)*(ISNUMBER(SEARCH("SK:",$G$6:$G$211)))),0)),"")))</f>
        <v>RLNVBL9K0TT701918</v>
      </c>
      <c r="I150" s="290" t="s">
        <v>1740</v>
      </c>
      <c r="J150" s="290" t="s">
        <v>1739</v>
      </c>
      <c r="K150" s="290" t="s">
        <v>1313</v>
      </c>
      <c r="L150" s="292">
        <v>1</v>
      </c>
      <c r="M150" s="293">
        <v>250818182</v>
      </c>
      <c r="N150" s="294">
        <v>250818182</v>
      </c>
      <c r="O150" s="294">
        <v>25081818</v>
      </c>
      <c r="P150" s="294">
        <v>0</v>
      </c>
      <c r="Q150" s="294">
        <v>275900000</v>
      </c>
      <c r="R150" s="293">
        <v>270545455</v>
      </c>
      <c r="S150" s="294">
        <v>270545455</v>
      </c>
      <c r="T150" s="290" t="s">
        <v>12</v>
      </c>
      <c r="U150" s="290" t="s">
        <v>1334</v>
      </c>
      <c r="V150" s="290" t="s">
        <v>11</v>
      </c>
      <c r="W150" s="290" t="s">
        <v>9</v>
      </c>
      <c r="X150" s="290" t="s">
        <v>16</v>
      </c>
      <c r="Y150" s="204" t="s">
        <v>1312</v>
      </c>
      <c r="Z150" s="313">
        <f t="shared" si="2"/>
        <v>297600000.5</v>
      </c>
      <c r="AA150" s="314">
        <f>VLOOKUP(H150,'Dự thu chiết khấu'!$L$4:$AB$204,17,0)-Z150</f>
        <v>-0.5</v>
      </c>
    </row>
    <row r="151" spans="1:27" ht="10.5" hidden="1" customHeight="1">
      <c r="A151" s="289">
        <v>46136</v>
      </c>
      <c r="B151" s="290" t="s">
        <v>8</v>
      </c>
      <c r="C151" s="291" t="s">
        <v>1235</v>
      </c>
      <c r="D151" s="291" t="s">
        <v>1235</v>
      </c>
      <c r="E151" s="290" t="s">
        <v>1741</v>
      </c>
      <c r="F151" s="290" t="s">
        <v>1236</v>
      </c>
      <c r="G151" s="290" t="s">
        <v>1742</v>
      </c>
      <c r="H151" s="204" t="str" cm="1">
        <f t="array" ref="H151">IFERROR(TRIM(LEFT(SUBSTITUTE(MID(G151,FIND("SK:",G151)+3,50),"-",REPT(" ",50)),50)),IFERROR(TRIM(LEFT(SUBSTITUTE(MID(J151,FIND("SK:",J151)+3,50),"-",REPT(" ",50)),50)),IFERROR(INDEX($H$6:$H$211,MATCH(1,(($I$6:$I$211=I151)*(ISNUMBER(SEARCH("SK:",$G$6:$G$211)))),0)),"")))</f>
        <v>RLNV5JSE2TH704242</v>
      </c>
      <c r="I151" s="290" t="s">
        <v>1743</v>
      </c>
      <c r="J151" s="290" t="s">
        <v>1742</v>
      </c>
      <c r="K151" s="290" t="s">
        <v>1313</v>
      </c>
      <c r="L151" s="292">
        <v>1</v>
      </c>
      <c r="M151" s="293">
        <v>452054545</v>
      </c>
      <c r="N151" s="294">
        <v>452054545</v>
      </c>
      <c r="O151" s="294">
        <v>45205455</v>
      </c>
      <c r="P151" s="294">
        <v>0</v>
      </c>
      <c r="Q151" s="294">
        <v>497260000</v>
      </c>
      <c r="R151" s="293">
        <v>461672727</v>
      </c>
      <c r="S151" s="294">
        <v>461672727</v>
      </c>
      <c r="T151" s="290" t="s">
        <v>12</v>
      </c>
      <c r="U151" s="290" t="s">
        <v>1314</v>
      </c>
      <c r="V151" s="290" t="s">
        <v>11</v>
      </c>
      <c r="W151" s="290" t="s">
        <v>9</v>
      </c>
      <c r="X151" s="290" t="s">
        <v>15</v>
      </c>
      <c r="Y151" s="204" t="s">
        <v>1312</v>
      </c>
      <c r="Z151" s="313">
        <f t="shared" si="2"/>
        <v>507839999.70000005</v>
      </c>
      <c r="AA151" s="314">
        <f>VLOOKUP(H151,'Dự thu chiết khấu'!$L$4:$AB$204,17,0)-Z151</f>
        <v>0.29999995231628418</v>
      </c>
    </row>
    <row r="152" spans="1:27" ht="10.5" hidden="1" customHeight="1">
      <c r="A152" s="289">
        <v>46136</v>
      </c>
      <c r="B152" s="290" t="s">
        <v>8</v>
      </c>
      <c r="C152" s="291" t="s">
        <v>1237</v>
      </c>
      <c r="D152" s="291" t="s">
        <v>1237</v>
      </c>
      <c r="E152" s="290" t="s">
        <v>1744</v>
      </c>
      <c r="F152" s="290" t="s">
        <v>727</v>
      </c>
      <c r="G152" s="290" t="s">
        <v>1745</v>
      </c>
      <c r="H152" s="204" t="str" cm="1">
        <f t="array" ref="H152">IFERROR(TRIM(LEFT(SUBSTITUTE(MID(G152,FIND("SK:",G152)+3,50),"-",REPT(" ",50)),50)),IFERROR(TRIM(LEFT(SUBSTITUTE(MID(J152,FIND("SK:",J152)+3,50),"-",REPT(" ",50)),50)),IFERROR(INDEX($H$6:$H$211,MATCH(1,(($I$6:$I$211=I152)*(ISNUMBER(SEARCH("SK:",$G$6:$G$211)))),0)),"")))</f>
        <v>RLNV5JSEXTH743418</v>
      </c>
      <c r="I152" s="290" t="s">
        <v>1746</v>
      </c>
      <c r="J152" s="290" t="s">
        <v>1745</v>
      </c>
      <c r="K152" s="290" t="s">
        <v>1313</v>
      </c>
      <c r="L152" s="292">
        <v>1</v>
      </c>
      <c r="M152" s="293">
        <v>447509091</v>
      </c>
      <c r="N152" s="294">
        <v>447509091</v>
      </c>
      <c r="O152" s="294">
        <v>44750909</v>
      </c>
      <c r="P152" s="294">
        <v>0</v>
      </c>
      <c r="Q152" s="294">
        <v>492260000</v>
      </c>
      <c r="R152" s="293">
        <v>461672727</v>
      </c>
      <c r="S152" s="294">
        <v>461672727</v>
      </c>
      <c r="T152" s="290" t="s">
        <v>12</v>
      </c>
      <c r="U152" s="290" t="s">
        <v>1314</v>
      </c>
      <c r="V152" s="290" t="s">
        <v>11</v>
      </c>
      <c r="W152" s="290" t="s">
        <v>9</v>
      </c>
      <c r="X152" s="290" t="s">
        <v>14</v>
      </c>
      <c r="Y152" s="204" t="s">
        <v>1312</v>
      </c>
      <c r="Z152" s="313">
        <f t="shared" si="2"/>
        <v>507839999.70000005</v>
      </c>
      <c r="AA152" s="314">
        <f>VLOOKUP(H152,'Dự thu chiết khấu'!$L$4:$AB$204,17,0)-Z152</f>
        <v>0.29999995231628418</v>
      </c>
    </row>
    <row r="153" spans="1:27" ht="15.75" customHeight="1">
      <c r="A153" s="289">
        <v>46136</v>
      </c>
      <c r="B153" s="290" t="s">
        <v>8</v>
      </c>
      <c r="C153" s="291" t="s">
        <v>1238</v>
      </c>
      <c r="D153" s="291" t="s">
        <v>1238</v>
      </c>
      <c r="E153" s="290" t="s">
        <v>1747</v>
      </c>
      <c r="F153" s="290" t="s">
        <v>873</v>
      </c>
      <c r="G153" s="290" t="s">
        <v>1748</v>
      </c>
      <c r="H153" s="204" t="str" cm="1">
        <f t="array" ref="H153">IFERROR(TRIM(LEFT(SUBSTITUTE(MID(G153,FIND("SK:",G153)+3,50),"-",REPT(" ",50)),50)),IFERROR(TRIM(LEFT(SUBSTITUTE(MID(J153,FIND("SK:",J153)+3,50),"-",REPT(" ",50)),50)),IFERROR(INDEX($H$6:$H$211,MATCH(1,(($I$6:$I$211=I153)*(ISNUMBER(SEARCH("SK:",$G$6:$G$211)))),0)),"")))</f>
        <v>RLLV1MTC8TH744263</v>
      </c>
      <c r="I153" s="290" t="s">
        <v>1749</v>
      </c>
      <c r="J153" s="290" t="s">
        <v>1748</v>
      </c>
      <c r="K153" s="290" t="s">
        <v>1313</v>
      </c>
      <c r="L153" s="292">
        <v>1</v>
      </c>
      <c r="M153" s="293">
        <v>769572727</v>
      </c>
      <c r="N153" s="294">
        <v>769572727</v>
      </c>
      <c r="O153" s="294">
        <v>76957273</v>
      </c>
      <c r="P153" s="294">
        <v>0</v>
      </c>
      <c r="Q153" s="294">
        <v>846530000</v>
      </c>
      <c r="R153" s="293">
        <v>875413636</v>
      </c>
      <c r="S153" s="294">
        <v>875413636</v>
      </c>
      <c r="T153" s="290" t="s">
        <v>12</v>
      </c>
      <c r="U153" s="290" t="s">
        <v>1314</v>
      </c>
      <c r="V153" s="290" t="s">
        <v>11</v>
      </c>
      <c r="W153" s="290" t="s">
        <v>9</v>
      </c>
      <c r="X153" s="290" t="s">
        <v>10</v>
      </c>
      <c r="Y153" s="204" t="s">
        <v>1312</v>
      </c>
      <c r="Z153" s="313">
        <f t="shared" si="2"/>
        <v>962954999.60000002</v>
      </c>
      <c r="AA153" s="314">
        <f>VLOOKUP(H153,'Dự thu chiết khấu'!$L$4:$AB$204,17,0)-Z153</f>
        <v>0</v>
      </c>
    </row>
    <row r="154" spans="1:27" ht="10.5" hidden="1" customHeight="1">
      <c r="A154" s="289">
        <v>46137</v>
      </c>
      <c r="B154" s="290" t="s">
        <v>8</v>
      </c>
      <c r="C154" s="291" t="s">
        <v>1240</v>
      </c>
      <c r="D154" s="291" t="s">
        <v>1240</v>
      </c>
      <c r="E154" s="290" t="s">
        <v>1750</v>
      </c>
      <c r="F154" s="290" t="s">
        <v>756</v>
      </c>
      <c r="G154" s="290" t="s">
        <v>1751</v>
      </c>
      <c r="H154" s="204" t="str" cm="1">
        <f t="array" ref="H154">IFERROR(TRIM(LEFT(SUBSTITUTE(MID(G154,FIND("SK:",G154)+3,50),"-",REPT(" ",50)),50)),IFERROR(TRIM(LEFT(SUBSTITUTE(MID(J154,FIND("SK:",J154)+3,50),"-",REPT(" ",50)),50)),IFERROR(INDEX($H$6:$H$211,MATCH(1,(($I$6:$I$211=I154)*(ISNUMBER(SEARCH("SK:",$G$6:$G$211)))),0)),"")))</f>
        <v>RLLVFPTT0TH718307</v>
      </c>
      <c r="I154" s="290" t="s">
        <v>1752</v>
      </c>
      <c r="J154" s="290" t="s">
        <v>1751</v>
      </c>
      <c r="K154" s="290" t="s">
        <v>1313</v>
      </c>
      <c r="L154" s="292">
        <v>1</v>
      </c>
      <c r="M154" s="293">
        <v>688963636</v>
      </c>
      <c r="N154" s="294">
        <v>688963636</v>
      </c>
      <c r="O154" s="294">
        <v>68896364</v>
      </c>
      <c r="P154" s="294">
        <v>0</v>
      </c>
      <c r="Q154" s="294">
        <v>757860000</v>
      </c>
      <c r="R154" s="293">
        <v>714763636</v>
      </c>
      <c r="S154" s="294">
        <v>714763636</v>
      </c>
      <c r="T154" s="290" t="s">
        <v>12</v>
      </c>
      <c r="U154" s="290" t="s">
        <v>1314</v>
      </c>
      <c r="V154" s="290" t="s">
        <v>11</v>
      </c>
      <c r="W154" s="290" t="s">
        <v>9</v>
      </c>
      <c r="X154" s="290" t="s">
        <v>16</v>
      </c>
      <c r="Y154" s="204" t="s">
        <v>1312</v>
      </c>
      <c r="Z154" s="313">
        <f t="shared" si="2"/>
        <v>786239999.60000002</v>
      </c>
      <c r="AA154" s="314">
        <f>VLOOKUP(H154,'Dự thu chiết khấu'!$L$4:$AB$204,17,0)-Z154</f>
        <v>0.39999997615814209</v>
      </c>
    </row>
    <row r="155" spans="1:27" ht="10.5" hidden="1" customHeight="1">
      <c r="A155" s="289">
        <v>46137</v>
      </c>
      <c r="B155" s="290" t="s">
        <v>8</v>
      </c>
      <c r="C155" s="291" t="s">
        <v>1241</v>
      </c>
      <c r="D155" s="291" t="s">
        <v>1241</v>
      </c>
      <c r="E155" s="290" t="s">
        <v>1753</v>
      </c>
      <c r="F155" s="290" t="s">
        <v>1242</v>
      </c>
      <c r="G155" s="290" t="s">
        <v>1754</v>
      </c>
      <c r="H155" s="204" t="str" cm="1">
        <f t="array" ref="H155">IFERROR(TRIM(LEFT(SUBSTITUTE(MID(G155,FIND("SK:",G155)+3,50),"-",REPT(" ",50)),50)),IFERROR(TRIM(LEFT(SUBSTITUTE(MID(J155,FIND("SK:",J155)+3,50),"-",REPT(" ",50)),50)),IFERROR(INDEX($H$6:$H$211,MATCH(1,(($I$6:$I$211=I155)*(ISNUMBER(SEARCH("SK:",$G$6:$G$211)))),0)),"")))</f>
        <v>RLNVBL9K2TT713116</v>
      </c>
      <c r="I155" s="290" t="s">
        <v>1755</v>
      </c>
      <c r="J155" s="290" t="s">
        <v>1754</v>
      </c>
      <c r="K155" s="290" t="s">
        <v>1313</v>
      </c>
      <c r="L155" s="292">
        <v>1</v>
      </c>
      <c r="M155" s="293">
        <v>260590909</v>
      </c>
      <c r="N155" s="294">
        <v>260590909</v>
      </c>
      <c r="O155" s="294">
        <v>26059091</v>
      </c>
      <c r="P155" s="294">
        <v>0</v>
      </c>
      <c r="Q155" s="294">
        <v>286650000</v>
      </c>
      <c r="R155" s="293">
        <v>274909091</v>
      </c>
      <c r="S155" s="294">
        <v>274909091</v>
      </c>
      <c r="T155" s="290" t="s">
        <v>12</v>
      </c>
      <c r="U155" s="290" t="s">
        <v>1314</v>
      </c>
      <c r="V155" s="290" t="s">
        <v>11</v>
      </c>
      <c r="W155" s="290" t="s">
        <v>9</v>
      </c>
      <c r="X155" s="290" t="s">
        <v>15</v>
      </c>
      <c r="Y155" s="204" t="s">
        <v>1312</v>
      </c>
      <c r="Z155" s="313">
        <f t="shared" si="2"/>
        <v>302400000.10000002</v>
      </c>
      <c r="AA155" s="314">
        <f>VLOOKUP(H155,'Dự thu chiết khấu'!$L$4:$AB$204,17,0)-Z155</f>
        <v>-0.10000002384185791</v>
      </c>
    </row>
    <row r="156" spans="1:27" ht="10.5" hidden="1" customHeight="1">
      <c r="A156" s="289">
        <v>46137</v>
      </c>
      <c r="B156" s="290" t="s">
        <v>8</v>
      </c>
      <c r="C156" s="291" t="s">
        <v>1243</v>
      </c>
      <c r="D156" s="291" t="s">
        <v>1243</v>
      </c>
      <c r="E156" s="290" t="s">
        <v>1756</v>
      </c>
      <c r="F156" s="290" t="s">
        <v>763</v>
      </c>
      <c r="G156" s="290" t="s">
        <v>1757</v>
      </c>
      <c r="H156" s="204" t="str" cm="1">
        <f t="array" ref="H156">IFERROR(TRIM(LEFT(SUBSTITUTE(MID(G156,FIND("SK:",G156)+3,50),"-",REPT(" ",50)),50)),IFERROR(TRIM(LEFT(SUBSTITUTE(MID(J156,FIND("SK:",J156)+3,50),"-",REPT(" ",50)),50)),IFERROR(INDEX($H$6:$H$211,MATCH(1,(($I$6:$I$211=I156)*(ISNUMBER(SEARCH("SK:",$G$6:$G$211)))),0)),"")))</f>
        <v>RLNV5JSE9TH741031</v>
      </c>
      <c r="I156" s="290" t="s">
        <v>1758</v>
      </c>
      <c r="J156" s="290" t="s">
        <v>1757</v>
      </c>
      <c r="K156" s="290" t="s">
        <v>1313</v>
      </c>
      <c r="L156" s="292">
        <v>1</v>
      </c>
      <c r="M156" s="293">
        <v>442963636</v>
      </c>
      <c r="N156" s="294">
        <v>442963636</v>
      </c>
      <c r="O156" s="294">
        <v>44296364</v>
      </c>
      <c r="P156" s="294">
        <v>0</v>
      </c>
      <c r="Q156" s="294">
        <v>487260000</v>
      </c>
      <c r="R156" s="293">
        <v>461672727</v>
      </c>
      <c r="S156" s="294">
        <v>461672727</v>
      </c>
      <c r="T156" s="290" t="s">
        <v>12</v>
      </c>
      <c r="U156" s="290" t="s">
        <v>1379</v>
      </c>
      <c r="V156" s="290" t="s">
        <v>11</v>
      </c>
      <c r="W156" s="290" t="s">
        <v>9</v>
      </c>
      <c r="X156" s="290" t="s">
        <v>16</v>
      </c>
      <c r="Y156" s="204" t="s">
        <v>1312</v>
      </c>
      <c r="Z156" s="313">
        <f t="shared" si="2"/>
        <v>507839999.70000005</v>
      </c>
      <c r="AA156" s="314">
        <f>VLOOKUP(H156,'Dự thu chiết khấu'!$L$4:$AB$204,17,0)-Z156</f>
        <v>0.29999995231628418</v>
      </c>
    </row>
    <row r="157" spans="1:27" ht="10.5" hidden="1" customHeight="1">
      <c r="A157" s="289">
        <v>46137</v>
      </c>
      <c r="B157" s="290" t="s">
        <v>8</v>
      </c>
      <c r="C157" s="291" t="s">
        <v>1244</v>
      </c>
      <c r="D157" s="291" t="s">
        <v>1244</v>
      </c>
      <c r="E157" s="290" t="s">
        <v>1759</v>
      </c>
      <c r="F157" s="290" t="s">
        <v>760</v>
      </c>
      <c r="G157" s="290" t="s">
        <v>1760</v>
      </c>
      <c r="H157" s="204" t="str" cm="1">
        <f t="array" ref="H157">IFERROR(TRIM(LEFT(SUBSTITUTE(MID(G157,FIND("SK:",G157)+3,50),"-",REPT(" ",50)),50)),IFERROR(TRIM(LEFT(SUBSTITUTE(MID(J157,FIND("SK:",J157)+3,50),"-",REPT(" ",50)),50)),IFERROR(INDEX($H$6:$H$211,MATCH(1,(($I$6:$I$211=I157)*(ISNUMBER(SEARCH("SK:",$G$6:$G$211)))),0)),"")))</f>
        <v>RLNVBL9K8TT715534</v>
      </c>
      <c r="I157" s="290" t="s">
        <v>1761</v>
      </c>
      <c r="J157" s="290" t="s">
        <v>1760</v>
      </c>
      <c r="K157" s="290" t="s">
        <v>1313</v>
      </c>
      <c r="L157" s="292">
        <v>1</v>
      </c>
      <c r="M157" s="293">
        <v>252618182</v>
      </c>
      <c r="N157" s="294">
        <v>252618182</v>
      </c>
      <c r="O157" s="294">
        <v>25261818</v>
      </c>
      <c r="P157" s="294">
        <v>0</v>
      </c>
      <c r="Q157" s="294">
        <v>277880000</v>
      </c>
      <c r="R157" s="293">
        <v>263563636</v>
      </c>
      <c r="S157" s="294">
        <v>263563636</v>
      </c>
      <c r="T157" s="290" t="s">
        <v>12</v>
      </c>
      <c r="U157" s="290" t="s">
        <v>1314</v>
      </c>
      <c r="V157" s="290" t="s">
        <v>11</v>
      </c>
      <c r="W157" s="290" t="s">
        <v>9</v>
      </c>
      <c r="X157" s="290" t="s">
        <v>16</v>
      </c>
      <c r="Y157" s="204" t="s">
        <v>1312</v>
      </c>
      <c r="Z157" s="313">
        <f t="shared" si="2"/>
        <v>289919999.60000002</v>
      </c>
      <c r="AA157" s="314">
        <f>VLOOKUP(H157,'Dự thu chiết khấu'!$L$4:$AB$204,17,0)-Z157</f>
        <v>0.39999997615814209</v>
      </c>
    </row>
    <row r="158" spans="1:27" ht="10.5" hidden="1" customHeight="1">
      <c r="A158" s="289">
        <v>46139</v>
      </c>
      <c r="B158" s="290" t="s">
        <v>8</v>
      </c>
      <c r="C158" s="291" t="s">
        <v>1135</v>
      </c>
      <c r="D158" s="291" t="s">
        <v>1135</v>
      </c>
      <c r="E158" s="290" t="s">
        <v>1762</v>
      </c>
      <c r="F158" s="290" t="s">
        <v>325</v>
      </c>
      <c r="G158" s="290" t="s">
        <v>1763</v>
      </c>
      <c r="H158" s="204" t="str" cm="1">
        <f t="array" ref="H158">IFERROR(TRIM(LEFT(SUBSTITUTE(MID(G158,FIND("SK:",G158)+3,50),"-",REPT(" ",50)),50)),IFERROR(TRIM(LEFT(SUBSTITUTE(MID(J158,FIND("SK:",J158)+3,50),"-",REPT(" ",50)),50)),IFERROR(INDEX($H$6:$H$211,MATCH(1,(($I$6:$I$211=I158)*(ISNUMBER(SEARCH("SK:",$G$6:$G$211)))),0)),"")))</f>
        <v>RLLV3EKB2TH748026</v>
      </c>
      <c r="I158" s="290" t="s">
        <v>1764</v>
      </c>
      <c r="J158" s="290" t="s">
        <v>1763</v>
      </c>
      <c r="K158" s="290" t="s">
        <v>1313</v>
      </c>
      <c r="L158" s="292">
        <v>1</v>
      </c>
      <c r="M158" s="293">
        <v>763172727</v>
      </c>
      <c r="N158" s="294">
        <v>763172727</v>
      </c>
      <c r="O158" s="294">
        <v>76317273</v>
      </c>
      <c r="P158" s="294">
        <v>0</v>
      </c>
      <c r="Q158" s="294">
        <v>839490000</v>
      </c>
      <c r="R158" s="293">
        <v>815222727</v>
      </c>
      <c r="S158" s="294">
        <v>815222727</v>
      </c>
      <c r="T158" s="290" t="s">
        <v>12</v>
      </c>
      <c r="U158" s="290" t="s">
        <v>1314</v>
      </c>
      <c r="V158" s="290" t="s">
        <v>11</v>
      </c>
      <c r="W158" s="290" t="s">
        <v>9</v>
      </c>
      <c r="X158" s="290" t="s">
        <v>14</v>
      </c>
      <c r="Y158" s="204" t="s">
        <v>1312</v>
      </c>
      <c r="Z158" s="313">
        <f t="shared" si="2"/>
        <v>896744999.70000005</v>
      </c>
      <c r="AA158" s="314">
        <f>VLOOKUP(H158,'Dự thu chiết khấu'!$L$4:$AB$204,17,0)-Z158</f>
        <v>0.29999995231628418</v>
      </c>
    </row>
    <row r="159" spans="1:27" ht="10.5" hidden="1" customHeight="1">
      <c r="A159" s="289">
        <v>46139</v>
      </c>
      <c r="B159" s="290" t="s">
        <v>8</v>
      </c>
      <c r="C159" s="291" t="s">
        <v>1136</v>
      </c>
      <c r="D159" s="291" t="s">
        <v>1136</v>
      </c>
      <c r="E159" s="290" t="s">
        <v>1765</v>
      </c>
      <c r="F159" s="290" t="s">
        <v>878</v>
      </c>
      <c r="G159" s="290" t="s">
        <v>1766</v>
      </c>
      <c r="H159" s="204" t="str" cm="1">
        <f t="array" ref="H159">IFERROR(TRIM(LEFT(SUBSTITUTE(MID(G159,FIND("SK:",G159)+3,50),"-",REPT(" ",50)),50)),IFERROR(TRIM(LEFT(SUBSTITUTE(MID(J159,FIND("SK:",J159)+3,50),"-",REPT(" ",50)),50)),IFERROR(INDEX($H$6:$H$211,MATCH(1,(($I$6:$I$211=I159)*(ISNUMBER(SEARCH("SK:",$G$6:$G$211)))),0)),"")))</f>
        <v>RLNV5JSE8TH706884</v>
      </c>
      <c r="I159" s="290" t="s">
        <v>1767</v>
      </c>
      <c r="J159" s="290" t="s">
        <v>1766</v>
      </c>
      <c r="K159" s="290" t="s">
        <v>1313</v>
      </c>
      <c r="L159" s="292">
        <v>1</v>
      </c>
      <c r="M159" s="293">
        <v>444418182</v>
      </c>
      <c r="N159" s="294">
        <v>444418182</v>
      </c>
      <c r="O159" s="294">
        <v>44441818</v>
      </c>
      <c r="P159" s="294">
        <v>0</v>
      </c>
      <c r="Q159" s="294">
        <v>488860000</v>
      </c>
      <c r="R159" s="293">
        <v>461672727</v>
      </c>
      <c r="S159" s="294">
        <v>461672727</v>
      </c>
      <c r="T159" s="290" t="s">
        <v>12</v>
      </c>
      <c r="U159" s="290" t="s">
        <v>1318</v>
      </c>
      <c r="V159" s="290" t="s">
        <v>11</v>
      </c>
      <c r="W159" s="290" t="s">
        <v>9</v>
      </c>
      <c r="X159" s="290" t="s">
        <v>10</v>
      </c>
      <c r="Y159" s="204" t="s">
        <v>1312</v>
      </c>
      <c r="Z159" s="313">
        <f t="shared" si="2"/>
        <v>507839999.70000005</v>
      </c>
      <c r="AA159" s="314">
        <f>VLOOKUP(H159,'Dự thu chiết khấu'!$L$4:$AB$204,17,0)-Z159</f>
        <v>0.29999995231628418</v>
      </c>
    </row>
    <row r="160" spans="1:27" ht="10.5" hidden="1" customHeight="1">
      <c r="A160" s="289">
        <v>46139</v>
      </c>
      <c r="B160" s="290" t="s">
        <v>8</v>
      </c>
      <c r="C160" s="291" t="s">
        <v>1245</v>
      </c>
      <c r="D160" s="291" t="s">
        <v>1245</v>
      </c>
      <c r="E160" s="290" t="s">
        <v>1768</v>
      </c>
      <c r="F160" s="290" t="s">
        <v>766</v>
      </c>
      <c r="G160" s="290" t="s">
        <v>1769</v>
      </c>
      <c r="H160" s="204" t="str" cm="1">
        <f t="array" ref="H160">IFERROR(TRIM(LEFT(SUBSTITUTE(MID(G160,FIND("SK:",G160)+3,50),"-",REPT(" ",50)),50)),IFERROR(TRIM(LEFT(SUBSTITUTE(MID(J160,FIND("SK:",J160)+3,50),"-",REPT(" ",50)),50)),IFERROR(INDEX($H$6:$H$211,MATCH(1,(($I$6:$I$211=I160)*(ISNUMBER(SEARCH("SK:",$G$6:$G$211)))),0)),"")))</f>
        <v>RLLV3FKC9TH741234</v>
      </c>
      <c r="I160" s="290" t="s">
        <v>1770</v>
      </c>
      <c r="J160" s="290" t="s">
        <v>1769</v>
      </c>
      <c r="K160" s="290" t="s">
        <v>1313</v>
      </c>
      <c r="L160" s="292">
        <v>1</v>
      </c>
      <c r="M160" s="293">
        <v>721809091</v>
      </c>
      <c r="N160" s="294">
        <v>721809091</v>
      </c>
      <c r="O160" s="294">
        <v>72180909</v>
      </c>
      <c r="P160" s="294">
        <v>0</v>
      </c>
      <c r="Q160" s="294">
        <v>793990000</v>
      </c>
      <c r="R160" s="293">
        <v>771813636</v>
      </c>
      <c r="S160" s="294">
        <v>771813636</v>
      </c>
      <c r="T160" s="290" t="s">
        <v>12</v>
      </c>
      <c r="U160" s="290" t="s">
        <v>1314</v>
      </c>
      <c r="V160" s="290" t="s">
        <v>11</v>
      </c>
      <c r="W160" s="290" t="s">
        <v>9</v>
      </c>
      <c r="X160" s="290" t="s">
        <v>16</v>
      </c>
      <c r="Y160" s="204" t="s">
        <v>1312</v>
      </c>
      <c r="Z160" s="313">
        <f t="shared" si="2"/>
        <v>848994999.60000002</v>
      </c>
      <c r="AA160" s="314">
        <f>VLOOKUP(H160,'Dự thu chiết khấu'!$L$4:$AB$204,17,0)-Z160</f>
        <v>0.39999997615814209</v>
      </c>
    </row>
    <row r="161" spans="1:27" ht="10.5" hidden="1" customHeight="1">
      <c r="A161" s="289">
        <v>46139</v>
      </c>
      <c r="B161" s="290" t="s">
        <v>8</v>
      </c>
      <c r="C161" s="291" t="s">
        <v>1141</v>
      </c>
      <c r="D161" s="291" t="s">
        <v>1141</v>
      </c>
      <c r="E161" s="290" t="s">
        <v>1771</v>
      </c>
      <c r="F161" s="290" t="s">
        <v>881</v>
      </c>
      <c r="G161" s="290" t="s">
        <v>1772</v>
      </c>
      <c r="H161" s="204" t="str" cm="1">
        <f t="array" ref="H161">IFERROR(TRIM(LEFT(SUBSTITUTE(MID(G161,FIND("SK:",G161)+3,50),"-",REPT(" ",50)),50)),IFERROR(TRIM(LEFT(SUBSTITUTE(MID(J161,FIND("SK:",J161)+3,50),"-",REPT(" ",50)),50)),IFERROR(INDEX($H$6:$H$211,MATCH(1,(($I$6:$I$211=I161)*(ISNUMBER(SEARCH("SK:",$G$6:$G$211)))),0)),"")))</f>
        <v>RLLVAG8C2TH740140</v>
      </c>
      <c r="I161" s="290" t="s">
        <v>1773</v>
      </c>
      <c r="J161" s="290" t="s">
        <v>1772</v>
      </c>
      <c r="K161" s="290" t="s">
        <v>1313</v>
      </c>
      <c r="L161" s="292">
        <v>1</v>
      </c>
      <c r="M161" s="293">
        <v>605409091</v>
      </c>
      <c r="N161" s="294">
        <v>605409091</v>
      </c>
      <c r="O161" s="294">
        <v>60540909</v>
      </c>
      <c r="P161" s="294">
        <v>0</v>
      </c>
      <c r="Q161" s="294">
        <v>665950000</v>
      </c>
      <c r="R161" s="293">
        <v>650181818</v>
      </c>
      <c r="S161" s="294">
        <v>650181818</v>
      </c>
      <c r="T161" s="290" t="s">
        <v>12</v>
      </c>
      <c r="U161" s="290" t="s">
        <v>1334</v>
      </c>
      <c r="V161" s="290" t="s">
        <v>11</v>
      </c>
      <c r="W161" s="290" t="s">
        <v>9</v>
      </c>
      <c r="X161" s="290" t="s">
        <v>10</v>
      </c>
      <c r="Y161" s="204" t="s">
        <v>1312</v>
      </c>
      <c r="Z161" s="313">
        <f t="shared" si="2"/>
        <v>715199999.80000007</v>
      </c>
      <c r="AA161" s="314">
        <f>VLOOKUP(H161,'Dự thu chiết khấu'!$L$4:$AB$204,17,0)-Z161</f>
        <v>0.19999992847442627</v>
      </c>
    </row>
    <row r="162" spans="1:27" ht="10.5" hidden="1" customHeight="1">
      <c r="A162" s="289">
        <v>46139</v>
      </c>
      <c r="B162" s="290" t="s">
        <v>8</v>
      </c>
      <c r="C162" s="291" t="s">
        <v>1246</v>
      </c>
      <c r="D162" s="291" t="s">
        <v>1246</v>
      </c>
      <c r="E162" s="290" t="s">
        <v>1774</v>
      </c>
      <c r="F162" s="290" t="s">
        <v>884</v>
      </c>
      <c r="G162" s="290" t="s">
        <v>1775</v>
      </c>
      <c r="H162" s="204" t="str" cm="1">
        <f t="array" ref="H162">IFERROR(TRIM(LEFT(SUBSTITUTE(MID(G162,FIND("SK:",G162)+3,50),"-",REPT(" ",50)),50)),IFERROR(TRIM(LEFT(SUBSTITUTE(MID(J162,FIND("SK:",J162)+3,50),"-",REPT(" ",50)),50)),IFERROR(INDEX($H$6:$H$211,MATCH(1,(($I$6:$I$211=I162)*(ISNUMBER(SEARCH("SK:",$G$6:$G$211)))),0)),"")))</f>
        <v>RLNVBL9K8TT715095</v>
      </c>
      <c r="I162" s="290" t="s">
        <v>1776</v>
      </c>
      <c r="J162" s="290" t="s">
        <v>1775</v>
      </c>
      <c r="K162" s="290" t="s">
        <v>1313</v>
      </c>
      <c r="L162" s="292">
        <v>1</v>
      </c>
      <c r="M162" s="293">
        <v>263727273</v>
      </c>
      <c r="N162" s="294">
        <v>263727273</v>
      </c>
      <c r="O162" s="294">
        <v>26372727</v>
      </c>
      <c r="P162" s="294">
        <v>0</v>
      </c>
      <c r="Q162" s="294">
        <v>290100000</v>
      </c>
      <c r="R162" s="293">
        <v>274909091</v>
      </c>
      <c r="S162" s="294">
        <v>274909091</v>
      </c>
      <c r="T162" s="290" t="s">
        <v>12</v>
      </c>
      <c r="U162" s="290" t="s">
        <v>1334</v>
      </c>
      <c r="V162" s="290" t="s">
        <v>11</v>
      </c>
      <c r="W162" s="290" t="s">
        <v>9</v>
      </c>
      <c r="X162" s="290" t="s">
        <v>10</v>
      </c>
      <c r="Y162" s="204" t="s">
        <v>1312</v>
      </c>
      <c r="Z162" s="313">
        <f t="shared" si="2"/>
        <v>302400000.10000002</v>
      </c>
      <c r="AA162" s="314">
        <f>VLOOKUP(H162,'Dự thu chiết khấu'!$L$4:$AB$204,17,0)-Z162</f>
        <v>-0.10000002384185791</v>
      </c>
    </row>
    <row r="163" spans="1:27" ht="10.5" hidden="1" customHeight="1">
      <c r="A163" s="289">
        <v>46139</v>
      </c>
      <c r="B163" s="290" t="s">
        <v>8</v>
      </c>
      <c r="C163" s="291" t="s">
        <v>1143</v>
      </c>
      <c r="D163" s="291" t="s">
        <v>1143</v>
      </c>
      <c r="E163" s="290" t="s">
        <v>1777</v>
      </c>
      <c r="F163" s="290" t="s">
        <v>1144</v>
      </c>
      <c r="G163" s="290" t="s">
        <v>1778</v>
      </c>
      <c r="H163" s="204" t="str" cm="1">
        <f t="array" ref="H163">IFERROR(TRIM(LEFT(SUBSTITUTE(MID(G163,FIND("SK:",G163)+3,50),"-",REPT(" ",50)),50)),IFERROR(TRIM(LEFT(SUBSTITUTE(MID(J163,FIND("SK:",J163)+3,50),"-",REPT(" ",50)),50)),IFERROR(INDEX($H$6:$H$211,MATCH(1,(($I$6:$I$211=I163)*(ISNUMBER(SEARCH("SK:",$G$6:$G$211)))),0)),"")))</f>
        <v>RLNVBL9K9TT716675</v>
      </c>
      <c r="I163" s="290" t="s">
        <v>1779</v>
      </c>
      <c r="J163" s="290" t="s">
        <v>1778</v>
      </c>
      <c r="K163" s="290" t="s">
        <v>1313</v>
      </c>
      <c r="L163" s="292">
        <v>1</v>
      </c>
      <c r="M163" s="293">
        <v>269181818</v>
      </c>
      <c r="N163" s="294">
        <v>269181818</v>
      </c>
      <c r="O163" s="294">
        <v>26918182</v>
      </c>
      <c r="P163" s="294">
        <v>0</v>
      </c>
      <c r="Q163" s="294">
        <v>296100000</v>
      </c>
      <c r="R163" s="293">
        <v>274909091</v>
      </c>
      <c r="S163" s="294">
        <v>274909091</v>
      </c>
      <c r="T163" s="290" t="s">
        <v>12</v>
      </c>
      <c r="U163" s="290" t="s">
        <v>1314</v>
      </c>
      <c r="V163" s="290" t="s">
        <v>11</v>
      </c>
      <c r="W163" s="290" t="s">
        <v>9</v>
      </c>
      <c r="X163" s="290" t="s">
        <v>14</v>
      </c>
      <c r="Y163" s="204" t="s">
        <v>1312</v>
      </c>
      <c r="Z163" s="313">
        <f t="shared" si="2"/>
        <v>302400000.10000002</v>
      </c>
      <c r="AA163" s="314">
        <f>VLOOKUP(H163,'Dự thu chiết khấu'!$L$4:$AB$204,17,0)-Z163</f>
        <v>-0.10000002384185791</v>
      </c>
    </row>
    <row r="164" spans="1:27" ht="10.5" hidden="1" customHeight="1">
      <c r="A164" s="289">
        <v>46139</v>
      </c>
      <c r="B164" s="290" t="s">
        <v>8</v>
      </c>
      <c r="C164" s="291" t="s">
        <v>1145</v>
      </c>
      <c r="D164" s="291" t="s">
        <v>1145</v>
      </c>
      <c r="E164" s="290" t="s">
        <v>1780</v>
      </c>
      <c r="F164" s="290" t="s">
        <v>887</v>
      </c>
      <c r="G164" s="290" t="s">
        <v>1781</v>
      </c>
      <c r="H164" s="204" t="str" cm="1">
        <f t="array" ref="H164">IFERROR(TRIM(LEFT(SUBSTITUTE(MID(G164,FIND("SK:",G164)+3,50),"-",REPT(" ",50)),50)),IFERROR(TRIM(LEFT(SUBSTITUTE(MID(J164,FIND("SK:",J164)+3,50),"-",REPT(" ",50)),50)),IFERROR(INDEX($H$6:$H$211,MATCH(1,(($I$6:$I$211=I164)*(ISNUMBER(SEARCH("SK:",$G$6:$G$211)))),0)),"")))</f>
        <v>RLLV3EKB3TH728402</v>
      </c>
      <c r="I164" s="290" t="s">
        <v>1782</v>
      </c>
      <c r="J164" s="290" t="s">
        <v>1781</v>
      </c>
      <c r="K164" s="290" t="s">
        <v>1313</v>
      </c>
      <c r="L164" s="292">
        <v>1</v>
      </c>
      <c r="M164" s="293">
        <v>767718182</v>
      </c>
      <c r="N164" s="294">
        <v>767718182</v>
      </c>
      <c r="O164" s="294">
        <v>76771818</v>
      </c>
      <c r="P164" s="294">
        <v>0</v>
      </c>
      <c r="Q164" s="294">
        <v>844490000</v>
      </c>
      <c r="R164" s="293">
        <v>815222727</v>
      </c>
      <c r="S164" s="294">
        <v>815222727</v>
      </c>
      <c r="T164" s="290" t="s">
        <v>12</v>
      </c>
      <c r="U164" s="290" t="s">
        <v>1314</v>
      </c>
      <c r="V164" s="290" t="s">
        <v>11</v>
      </c>
      <c r="W164" s="290" t="s">
        <v>9</v>
      </c>
      <c r="X164" s="290" t="s">
        <v>10</v>
      </c>
      <c r="Y164" s="204" t="s">
        <v>1312</v>
      </c>
      <c r="Z164" s="313">
        <f t="shared" si="2"/>
        <v>896744999.70000005</v>
      </c>
      <c r="AA164" s="314">
        <f>VLOOKUP(H164,'Dự thu chiết khấu'!$L$4:$AB$204,17,0)-Z164</f>
        <v>0.29999995231628418</v>
      </c>
    </row>
    <row r="165" spans="1:27" ht="10.5" hidden="1" customHeight="1">
      <c r="A165" s="289">
        <v>46140</v>
      </c>
      <c r="B165" s="290" t="s">
        <v>8</v>
      </c>
      <c r="C165" s="291" t="s">
        <v>1247</v>
      </c>
      <c r="D165" s="291" t="s">
        <v>1247</v>
      </c>
      <c r="E165" s="290" t="s">
        <v>1783</v>
      </c>
      <c r="F165" s="290" t="s">
        <v>893</v>
      </c>
      <c r="G165" s="290" t="s">
        <v>1784</v>
      </c>
      <c r="H165" s="204" t="str" cm="1">
        <f t="array" ref="H165">IFERROR(TRIM(LEFT(SUBSTITUTE(MID(G165,FIND("SK:",G165)+3,50),"-",REPT(" ",50)),50)),IFERROR(TRIM(LEFT(SUBSTITUTE(MID(J165,FIND("SK:",J165)+3,50),"-",REPT(" ",50)),50)),IFERROR(INDEX($H$6:$H$211,MATCH(1,(($I$6:$I$211=I165)*(ISNUMBER(SEARCH("SK:",$G$6:$G$211)))),0)),"")))</f>
        <v>RLNV5JSE4TH717266</v>
      </c>
      <c r="I165" s="290" t="s">
        <v>1785</v>
      </c>
      <c r="J165" s="290" t="s">
        <v>1784</v>
      </c>
      <c r="K165" s="290" t="s">
        <v>1313</v>
      </c>
      <c r="L165" s="292">
        <v>1</v>
      </c>
      <c r="M165" s="293">
        <v>452054545</v>
      </c>
      <c r="N165" s="294">
        <v>452054545</v>
      </c>
      <c r="O165" s="294">
        <v>45205455</v>
      </c>
      <c r="P165" s="294">
        <v>0</v>
      </c>
      <c r="Q165" s="294">
        <v>497260000</v>
      </c>
      <c r="R165" s="293">
        <v>461672727</v>
      </c>
      <c r="S165" s="294">
        <v>461672727</v>
      </c>
      <c r="T165" s="290" t="s">
        <v>12</v>
      </c>
      <c r="U165" s="290" t="s">
        <v>1318</v>
      </c>
      <c r="V165" s="290" t="s">
        <v>11</v>
      </c>
      <c r="W165" s="290" t="s">
        <v>9</v>
      </c>
      <c r="X165" s="290" t="s">
        <v>10</v>
      </c>
      <c r="Y165" s="204" t="s">
        <v>1312</v>
      </c>
      <c r="Z165" s="313">
        <f t="shared" si="2"/>
        <v>507839999.70000005</v>
      </c>
      <c r="AA165" s="314">
        <f>VLOOKUP(H165,'Dự thu chiết khấu'!$L$4:$AB$204,17,0)-Z165</f>
        <v>0.29999995231628418</v>
      </c>
    </row>
    <row r="166" spans="1:27" ht="10.5" hidden="1" customHeight="1">
      <c r="A166" s="289">
        <v>46140</v>
      </c>
      <c r="B166" s="290" t="s">
        <v>8</v>
      </c>
      <c r="C166" s="291" t="s">
        <v>1137</v>
      </c>
      <c r="D166" s="291" t="s">
        <v>1137</v>
      </c>
      <c r="E166" s="290" t="s">
        <v>1786</v>
      </c>
      <c r="F166" s="290" t="s">
        <v>890</v>
      </c>
      <c r="G166" s="290" t="s">
        <v>1787</v>
      </c>
      <c r="H166" s="204" t="str" cm="1">
        <f t="array" ref="H166">IFERROR(TRIM(LEFT(SUBSTITUTE(MID(G166,FIND("SK:",G166)+3,50),"-",REPT(" ",50)),50)),IFERROR(TRIM(LEFT(SUBSTITUTE(MID(J166,FIND("SK:",J166)+3,50),"-",REPT(" ",50)),50)),IFERROR(INDEX($H$6:$H$211,MATCH(1,(($I$6:$I$211=I166)*(ISNUMBER(SEARCH("SK:",$G$6:$G$211)))),0)),"")))</f>
        <v>RLNVBL9K4TT716387</v>
      </c>
      <c r="I166" s="290" t="s">
        <v>1788</v>
      </c>
      <c r="J166" s="290" t="s">
        <v>1787</v>
      </c>
      <c r="K166" s="290" t="s">
        <v>1313</v>
      </c>
      <c r="L166" s="292">
        <v>1</v>
      </c>
      <c r="M166" s="293">
        <v>261754545</v>
      </c>
      <c r="N166" s="294">
        <v>261754545</v>
      </c>
      <c r="O166" s="294">
        <v>26175455</v>
      </c>
      <c r="P166" s="294">
        <v>0</v>
      </c>
      <c r="Q166" s="294">
        <v>287930000</v>
      </c>
      <c r="R166" s="293">
        <v>281890909</v>
      </c>
      <c r="S166" s="294">
        <v>281890909</v>
      </c>
      <c r="T166" s="290" t="s">
        <v>12</v>
      </c>
      <c r="U166" s="290" t="s">
        <v>1318</v>
      </c>
      <c r="V166" s="290" t="s">
        <v>11</v>
      </c>
      <c r="W166" s="290" t="s">
        <v>9</v>
      </c>
      <c r="X166" s="290" t="s">
        <v>10</v>
      </c>
      <c r="Y166" s="204" t="s">
        <v>1312</v>
      </c>
      <c r="Z166" s="313">
        <f t="shared" si="2"/>
        <v>310079999.90000004</v>
      </c>
      <c r="AA166" s="314">
        <f>VLOOKUP(H166,'Dự thu chiết khấu'!$L$4:$AB$204,17,0)-Z166</f>
        <v>9.9999964237213135E-2</v>
      </c>
    </row>
    <row r="167" spans="1:27" ht="10.5" hidden="1" customHeight="1">
      <c r="A167" s="289">
        <v>46140</v>
      </c>
      <c r="B167" s="290" t="s">
        <v>8</v>
      </c>
      <c r="C167" s="291" t="s">
        <v>1139</v>
      </c>
      <c r="D167" s="291" t="s">
        <v>1139</v>
      </c>
      <c r="E167" s="290" t="s">
        <v>1789</v>
      </c>
      <c r="F167" s="290" t="s">
        <v>1140</v>
      </c>
      <c r="G167" s="290" t="s">
        <v>1790</v>
      </c>
      <c r="H167" s="204" t="str" cm="1">
        <f t="array" ref="H167">IFERROR(TRIM(LEFT(SUBSTITUTE(MID(G167,FIND("SK:",G167)+3,50),"-",REPT(" ",50)),50)),IFERROR(TRIM(LEFT(SUBSTITUTE(MID(J167,FIND("SK:",J167)+3,50),"-",REPT(" ",50)),50)),IFERROR(INDEX($H$6:$H$211,MATCH(1,(($I$6:$I$211=I167)*(ISNUMBER(SEARCH("SK:",$G$6:$G$211)))),0)),"")))</f>
        <v>RLLVFPNT0TH756097</v>
      </c>
      <c r="I167" s="290" t="s">
        <v>1791</v>
      </c>
      <c r="J167" s="290" t="s">
        <v>1790</v>
      </c>
      <c r="K167" s="290" t="s">
        <v>1313</v>
      </c>
      <c r="L167" s="292">
        <v>1</v>
      </c>
      <c r="M167" s="293">
        <v>629145455</v>
      </c>
      <c r="N167" s="294">
        <v>629145455</v>
      </c>
      <c r="O167" s="294">
        <v>62914545</v>
      </c>
      <c r="P167" s="294">
        <v>0</v>
      </c>
      <c r="Q167" s="294">
        <v>692060000</v>
      </c>
      <c r="R167" s="293">
        <v>653672727</v>
      </c>
      <c r="S167" s="294">
        <v>653672727</v>
      </c>
      <c r="T167" s="290" t="s">
        <v>12</v>
      </c>
      <c r="U167" s="290" t="s">
        <v>1314</v>
      </c>
      <c r="V167" s="290" t="s">
        <v>11</v>
      </c>
      <c r="W167" s="290" t="s">
        <v>9</v>
      </c>
      <c r="X167" s="290" t="s">
        <v>15</v>
      </c>
      <c r="Y167" s="204" t="s">
        <v>1312</v>
      </c>
      <c r="Z167" s="313">
        <f t="shared" si="2"/>
        <v>719039999.70000005</v>
      </c>
      <c r="AA167" s="314">
        <f>VLOOKUP(H167,'Dự thu chiết khấu'!$L$4:$AB$204,17,0)-Z167</f>
        <v>0.29999995231628418</v>
      </c>
    </row>
    <row r="168" spans="1:27" ht="10.5" hidden="1" customHeight="1">
      <c r="A168" s="289">
        <v>46140</v>
      </c>
      <c r="B168" s="290" t="s">
        <v>8</v>
      </c>
      <c r="C168" s="291" t="s">
        <v>1248</v>
      </c>
      <c r="D168" s="291" t="s">
        <v>1248</v>
      </c>
      <c r="E168" s="290" t="s">
        <v>1792</v>
      </c>
      <c r="F168" s="290" t="s">
        <v>1249</v>
      </c>
      <c r="G168" s="290" t="s">
        <v>1793</v>
      </c>
      <c r="H168" s="204" t="str" cm="1">
        <f t="array" ref="H168">IFERROR(TRIM(LEFT(SUBSTITUTE(MID(G168,FIND("SK:",G168)+3,50),"-",REPT(" ",50)),50)),IFERROR(TRIM(LEFT(SUBSTITUTE(MID(J168,FIND("SK:",J168)+3,50),"-",REPT(" ",50)),50)),IFERROR(INDEX($H$6:$H$211,MATCH(1,(($I$6:$I$211=I168)*(ISNUMBER(SEARCH("SK:",$G$6:$G$211)))),0)),"")))</f>
        <v>RLNVBL9K3TT716168</v>
      </c>
      <c r="I168" s="290" t="s">
        <v>1794</v>
      </c>
      <c r="J168" s="290" t="s">
        <v>1793</v>
      </c>
      <c r="K168" s="290" t="s">
        <v>1313</v>
      </c>
      <c r="L168" s="292">
        <v>1</v>
      </c>
      <c r="M168" s="293">
        <v>269181818</v>
      </c>
      <c r="N168" s="294">
        <v>269181818</v>
      </c>
      <c r="O168" s="294">
        <v>26918182</v>
      </c>
      <c r="P168" s="294">
        <v>0</v>
      </c>
      <c r="Q168" s="294">
        <v>296100000</v>
      </c>
      <c r="R168" s="293">
        <v>274909091</v>
      </c>
      <c r="S168" s="294">
        <v>274909091</v>
      </c>
      <c r="T168" s="290" t="s">
        <v>12</v>
      </c>
      <c r="U168" s="290" t="s">
        <v>1334</v>
      </c>
      <c r="V168" s="290" t="s">
        <v>11</v>
      </c>
      <c r="W168" s="290" t="s">
        <v>9</v>
      </c>
      <c r="X168" s="290" t="s">
        <v>13</v>
      </c>
      <c r="Y168" s="204" t="s">
        <v>1312</v>
      </c>
      <c r="Z168" s="313">
        <f t="shared" si="2"/>
        <v>302400000.10000002</v>
      </c>
      <c r="AA168" s="314">
        <f>VLOOKUP(H168,'Dự thu chiết khấu'!$L$4:$AB$204,17,0)-Z168</f>
        <v>-0.10000002384185791</v>
      </c>
    </row>
    <row r="169" spans="1:27" ht="10.5" customHeight="1">
      <c r="A169" s="289">
        <v>46140</v>
      </c>
      <c r="B169" s="290" t="s">
        <v>8</v>
      </c>
      <c r="C169" s="291" t="s">
        <v>1250</v>
      </c>
      <c r="D169" s="291" t="s">
        <v>1250</v>
      </c>
      <c r="E169" s="290" t="s">
        <v>1795</v>
      </c>
      <c r="F169" s="290" t="s">
        <v>770</v>
      </c>
      <c r="G169" s="290" t="s">
        <v>1796</v>
      </c>
      <c r="H169" s="204" t="str" cm="1">
        <f t="array" ref="H169">IFERROR(TRIM(LEFT(SUBSTITUTE(MID(G169,FIND("SK:",G169)+3,50),"-",REPT(" ",50)),50)),IFERROR(TRIM(LEFT(SUBSTITUTE(MID(J169,FIND("SK:",J169)+3,50),"-",REPT(" ",50)),50)),IFERROR(INDEX($H$6:$H$211,MATCH(1,(($I$6:$I$211=I169)*(ISNUMBER(SEARCH("SK:",$G$6:$G$211)))),0)),"")))</f>
        <v>RLNVBL9K8TT710723</v>
      </c>
      <c r="I169" s="290" t="s">
        <v>1797</v>
      </c>
      <c r="J169" s="290" t="s">
        <v>1796</v>
      </c>
      <c r="K169" s="290" t="s">
        <v>1313</v>
      </c>
      <c r="L169" s="292">
        <v>1</v>
      </c>
      <c r="M169" s="293">
        <v>252618182</v>
      </c>
      <c r="N169" s="294">
        <v>252618182</v>
      </c>
      <c r="O169" s="294">
        <v>25261818</v>
      </c>
      <c r="P169" s="294">
        <v>0</v>
      </c>
      <c r="Q169" s="294">
        <v>277880000</v>
      </c>
      <c r="R169" s="293">
        <v>263563636</v>
      </c>
      <c r="S169" s="294">
        <v>263563636</v>
      </c>
      <c r="T169" s="290" t="s">
        <v>12</v>
      </c>
      <c r="U169" s="290" t="s">
        <v>1314</v>
      </c>
      <c r="V169" s="290" t="s">
        <v>11</v>
      </c>
      <c r="W169" s="290" t="s">
        <v>9</v>
      </c>
      <c r="X169" s="290" t="s">
        <v>16</v>
      </c>
      <c r="Y169" s="204" t="s">
        <v>1312</v>
      </c>
      <c r="Z169" s="313">
        <f t="shared" si="2"/>
        <v>289919999.60000002</v>
      </c>
      <c r="AA169" s="314">
        <f>VLOOKUP(H169,'Dự thu chiết khấu'!$L$4:$AB$204,17,0)-Z169</f>
        <v>0</v>
      </c>
    </row>
    <row r="170" spans="1:27" ht="10.5" hidden="1" customHeight="1">
      <c r="A170" s="289">
        <v>46140</v>
      </c>
      <c r="B170" s="290" t="s">
        <v>8</v>
      </c>
      <c r="C170" s="291" t="s">
        <v>1251</v>
      </c>
      <c r="D170" s="291" t="s">
        <v>1251</v>
      </c>
      <c r="E170" s="290" t="s">
        <v>1798</v>
      </c>
      <c r="F170" s="290" t="s">
        <v>896</v>
      </c>
      <c r="G170" s="290" t="s">
        <v>1799</v>
      </c>
      <c r="H170" s="204" t="str" cm="1">
        <f t="array" ref="H170">IFERROR(TRIM(LEFT(SUBSTITUTE(MID(G170,FIND("SK:",G170)+3,50),"-",REPT(" ",50)),50)),IFERROR(TRIM(LEFT(SUBSTITUTE(MID(J170,FIND("SK:",J170)+3,50),"-",REPT(" ",50)),50)),IFERROR(INDEX($H$6:$H$211,MATCH(1,(($I$6:$I$211=I170)*(ISNUMBER(SEARCH("SK:",$G$6:$G$211)))),0)),"")))</f>
        <v>RLLVFPNT1TH749711</v>
      </c>
      <c r="I170" s="290" t="s">
        <v>1800</v>
      </c>
      <c r="J170" s="290" t="s">
        <v>1799</v>
      </c>
      <c r="K170" s="290" t="s">
        <v>1313</v>
      </c>
      <c r="L170" s="292">
        <v>1</v>
      </c>
      <c r="M170" s="293">
        <v>629145455</v>
      </c>
      <c r="N170" s="294">
        <v>629145455</v>
      </c>
      <c r="O170" s="294">
        <v>62914545</v>
      </c>
      <c r="P170" s="294">
        <v>0</v>
      </c>
      <c r="Q170" s="294">
        <v>692060000</v>
      </c>
      <c r="R170" s="293">
        <v>653672727</v>
      </c>
      <c r="S170" s="294">
        <v>653672727</v>
      </c>
      <c r="T170" s="290" t="s">
        <v>12</v>
      </c>
      <c r="U170" s="290" t="s">
        <v>1318</v>
      </c>
      <c r="V170" s="290" t="s">
        <v>11</v>
      </c>
      <c r="W170" s="290" t="s">
        <v>9</v>
      </c>
      <c r="X170" s="290" t="s">
        <v>10</v>
      </c>
      <c r="Y170" s="204" t="s">
        <v>1312</v>
      </c>
      <c r="Z170" s="313">
        <f t="shared" si="2"/>
        <v>719039999.70000005</v>
      </c>
      <c r="AA170" s="314">
        <f>VLOOKUP(H170,'Dự thu chiết khấu'!$L$4:$AB$204,17,0)-Z170</f>
        <v>0.29999995231628418</v>
      </c>
    </row>
    <row r="171" spans="1:27" ht="10.5" hidden="1" customHeight="1">
      <c r="A171" s="289">
        <v>46140</v>
      </c>
      <c r="B171" s="290" t="s">
        <v>8</v>
      </c>
      <c r="C171" s="291" t="s">
        <v>1252</v>
      </c>
      <c r="D171" s="291" t="s">
        <v>1252</v>
      </c>
      <c r="E171" s="290" t="s">
        <v>1801</v>
      </c>
      <c r="F171" s="290" t="s">
        <v>774</v>
      </c>
      <c r="G171" s="290" t="s">
        <v>1802</v>
      </c>
      <c r="H171" s="204" t="str" cm="1">
        <f t="array" ref="H171">IFERROR(TRIM(LEFT(SUBSTITUTE(MID(G171,FIND("SK:",G171)+3,50),"-",REPT(" ",50)),50)),IFERROR(TRIM(LEFT(SUBSTITUTE(MID(J171,FIND("SK:",J171)+3,50),"-",REPT(" ",50)),50)),IFERROR(INDEX($H$6:$H$211,MATCH(1,(($I$6:$I$211=I171)*(ISNUMBER(SEARCH("SK:",$G$6:$G$211)))),0)),"")))</f>
        <v>RLLVFPTTXTH726298</v>
      </c>
      <c r="I171" s="290" t="s">
        <v>1803</v>
      </c>
      <c r="J171" s="290" t="s">
        <v>1802</v>
      </c>
      <c r="K171" s="290" t="s">
        <v>1313</v>
      </c>
      <c r="L171" s="292">
        <v>1</v>
      </c>
      <c r="M171" s="293">
        <v>675738273</v>
      </c>
      <c r="N171" s="294">
        <v>675738273</v>
      </c>
      <c r="O171" s="294">
        <v>67573827</v>
      </c>
      <c r="P171" s="294">
        <v>0</v>
      </c>
      <c r="Q171" s="294">
        <v>743312100</v>
      </c>
      <c r="R171" s="293">
        <v>714763636</v>
      </c>
      <c r="S171" s="294">
        <v>714763636</v>
      </c>
      <c r="T171" s="290" t="s">
        <v>12</v>
      </c>
      <c r="U171" s="290" t="s">
        <v>1314</v>
      </c>
      <c r="V171" s="290" t="s">
        <v>11</v>
      </c>
      <c r="W171" s="290" t="s">
        <v>9</v>
      </c>
      <c r="X171" s="290" t="s">
        <v>16</v>
      </c>
      <c r="Y171" s="204" t="s">
        <v>1312</v>
      </c>
      <c r="Z171" s="313">
        <f t="shared" si="2"/>
        <v>786239999.60000002</v>
      </c>
      <c r="AA171" s="314">
        <f>VLOOKUP(H171,'Dự thu chiết khấu'!$L$4:$AB$204,17,0)-Z171</f>
        <v>0.39999997615814209</v>
      </c>
    </row>
    <row r="172" spans="1:27" ht="10.5" hidden="1" customHeight="1">
      <c r="A172" s="289">
        <v>46140</v>
      </c>
      <c r="B172" s="290" t="s">
        <v>8</v>
      </c>
      <c r="C172" s="291" t="s">
        <v>1254</v>
      </c>
      <c r="D172" s="291" t="s">
        <v>1254</v>
      </c>
      <c r="E172" s="290" t="s">
        <v>1804</v>
      </c>
      <c r="F172" s="290" t="s">
        <v>903</v>
      </c>
      <c r="G172" s="290" t="s">
        <v>1805</v>
      </c>
      <c r="H172" s="204" t="str" cm="1">
        <f t="array" ref="H172">IFERROR(TRIM(LEFT(SUBSTITUTE(MID(G172,FIND("SK:",G172)+3,50),"-",REPT(" ",50)),50)),IFERROR(TRIM(LEFT(SUBSTITUTE(MID(J172,FIND("SK:",J172)+3,50),"-",REPT(" ",50)),50)),IFERROR(INDEX($H$6:$H$211,MATCH(1,(($I$6:$I$211=I172)*(ISNUMBER(SEARCH("SK:",$G$6:$G$211)))),0)),"")))</f>
        <v>RLNVBL9K1TT714046</v>
      </c>
      <c r="I172" s="290" t="s">
        <v>1806</v>
      </c>
      <c r="J172" s="290" t="s">
        <v>1805</v>
      </c>
      <c r="K172" s="290" t="s">
        <v>1313</v>
      </c>
      <c r="L172" s="292">
        <v>1</v>
      </c>
      <c r="M172" s="293">
        <v>269181818</v>
      </c>
      <c r="N172" s="294">
        <v>269181818</v>
      </c>
      <c r="O172" s="294">
        <v>26918182</v>
      </c>
      <c r="P172" s="294">
        <v>0</v>
      </c>
      <c r="Q172" s="294">
        <v>296100000</v>
      </c>
      <c r="R172" s="293">
        <v>274909091</v>
      </c>
      <c r="S172" s="294">
        <v>274909091</v>
      </c>
      <c r="T172" s="290" t="s">
        <v>12</v>
      </c>
      <c r="U172" s="290" t="s">
        <v>1334</v>
      </c>
      <c r="V172" s="290" t="s">
        <v>11</v>
      </c>
      <c r="W172" s="290" t="s">
        <v>9</v>
      </c>
      <c r="X172" s="290" t="s">
        <v>10</v>
      </c>
      <c r="Y172" s="204" t="s">
        <v>1312</v>
      </c>
      <c r="Z172" s="313">
        <f t="shared" si="2"/>
        <v>302400000.10000002</v>
      </c>
      <c r="AA172" s="314">
        <f>VLOOKUP(H172,'Dự thu chiết khấu'!$L$4:$AB$204,17,0)-Z172</f>
        <v>-0.10000002384185791</v>
      </c>
    </row>
    <row r="173" spans="1:27" ht="10.5" hidden="1" customHeight="1">
      <c r="A173" s="289">
        <v>46140</v>
      </c>
      <c r="B173" s="290" t="s">
        <v>8</v>
      </c>
      <c r="C173" s="291" t="s">
        <v>1255</v>
      </c>
      <c r="D173" s="291" t="s">
        <v>1255</v>
      </c>
      <c r="E173" s="290" t="s">
        <v>1807</v>
      </c>
      <c r="F173" s="290" t="s">
        <v>739</v>
      </c>
      <c r="G173" s="290" t="s">
        <v>1808</v>
      </c>
      <c r="H173" s="204" t="str" cm="1">
        <f t="array" ref="H173">IFERROR(TRIM(LEFT(SUBSTITUTE(MID(G173,FIND("SK:",G173)+3,50),"-",REPT(" ",50)),50)),IFERROR(TRIM(LEFT(SUBSTITUTE(MID(J173,FIND("SK:",J173)+3,50),"-",REPT(" ",50)),50)),IFERROR(INDEX($H$6:$H$211,MATCH(1,(($I$6:$I$211=I173)*(ISNUMBER(SEARCH("SK:",$G$6:$G$211)))),0)),"")))</f>
        <v>RNXVGRPK1TT710874</v>
      </c>
      <c r="I173" s="290" t="s">
        <v>1809</v>
      </c>
      <c r="J173" s="290" t="s">
        <v>1808</v>
      </c>
      <c r="K173" s="290" t="s">
        <v>1313</v>
      </c>
      <c r="L173" s="292">
        <v>1</v>
      </c>
      <c r="M173" s="293">
        <v>277272727</v>
      </c>
      <c r="N173" s="294">
        <v>277272727</v>
      </c>
      <c r="O173" s="294">
        <v>27727273</v>
      </c>
      <c r="P173" s="294">
        <v>0</v>
      </c>
      <c r="Q173" s="294">
        <v>305000000</v>
      </c>
      <c r="R173" s="293">
        <v>266181818</v>
      </c>
      <c r="S173" s="294">
        <v>266181818</v>
      </c>
      <c r="T173" s="290" t="s">
        <v>12</v>
      </c>
      <c r="U173" s="290" t="s">
        <v>1314</v>
      </c>
      <c r="V173" s="290" t="s">
        <v>11</v>
      </c>
      <c r="W173" s="290" t="s">
        <v>9</v>
      </c>
      <c r="X173" s="290" t="s">
        <v>14</v>
      </c>
      <c r="Y173" s="204" t="s">
        <v>1312</v>
      </c>
      <c r="Z173" s="313">
        <f t="shared" si="2"/>
        <v>292799999.80000001</v>
      </c>
      <c r="AA173" s="314">
        <f>VLOOKUP(H173,'Dự thu chiết khấu'!$L$4:$AB$204,17,0)-Z173</f>
        <v>0.19999998807907104</v>
      </c>
    </row>
    <row r="174" spans="1:27" ht="10.5" hidden="1" customHeight="1">
      <c r="A174" s="289">
        <v>46140</v>
      </c>
      <c r="B174" s="290" t="s">
        <v>8</v>
      </c>
      <c r="C174" s="291" t="s">
        <v>1256</v>
      </c>
      <c r="D174" s="291" t="s">
        <v>1256</v>
      </c>
      <c r="E174" s="290" t="s">
        <v>1810</v>
      </c>
      <c r="F174" s="290" t="s">
        <v>1257</v>
      </c>
      <c r="G174" s="290" t="s">
        <v>1811</v>
      </c>
      <c r="H174" s="204" t="str" cm="1">
        <f t="array" ref="H174">IFERROR(TRIM(LEFT(SUBSTITUTE(MID(G174,FIND("SK:",G174)+3,50),"-",REPT(" ",50)),50)),IFERROR(TRIM(LEFT(SUBSTITUTE(MID(J174,FIND("SK:",J174)+3,50),"-",REPT(" ",50)),50)),IFERROR(INDEX($H$6:$H$211,MATCH(1,(($I$6:$I$211=I174)*(ISNUMBER(SEARCH("SK:",$G$6:$G$211)))),0)),"")))</f>
        <v>RLLVFPNT3TH716645</v>
      </c>
      <c r="I174" s="290" t="s">
        <v>1812</v>
      </c>
      <c r="J174" s="290" t="s">
        <v>1811</v>
      </c>
      <c r="K174" s="290" t="s">
        <v>1313</v>
      </c>
      <c r="L174" s="292">
        <v>1</v>
      </c>
      <c r="M174" s="293">
        <v>608718182</v>
      </c>
      <c r="N174" s="294">
        <v>608718182</v>
      </c>
      <c r="O174" s="294">
        <v>60871818</v>
      </c>
      <c r="P174" s="294">
        <v>0</v>
      </c>
      <c r="Q174" s="294">
        <v>669590000</v>
      </c>
      <c r="R174" s="293">
        <v>653672727</v>
      </c>
      <c r="S174" s="294">
        <v>653672727</v>
      </c>
      <c r="T174" s="290" t="s">
        <v>12</v>
      </c>
      <c r="U174" s="290" t="s">
        <v>1314</v>
      </c>
      <c r="V174" s="290" t="s">
        <v>11</v>
      </c>
      <c r="W174" s="290" t="s">
        <v>9</v>
      </c>
      <c r="X174" s="290" t="s">
        <v>15</v>
      </c>
      <c r="Y174" s="204" t="s">
        <v>1312</v>
      </c>
      <c r="Z174" s="313">
        <f t="shared" si="2"/>
        <v>719039999.70000005</v>
      </c>
      <c r="AA174" s="314">
        <f>VLOOKUP(H174,'Dự thu chiết khấu'!$L$4:$AB$204,17,0)-Z174</f>
        <v>0.29999995231628418</v>
      </c>
    </row>
    <row r="175" spans="1:27" ht="10.5" hidden="1" customHeight="1">
      <c r="A175" s="289">
        <v>46140</v>
      </c>
      <c r="B175" s="290" t="s">
        <v>8</v>
      </c>
      <c r="C175" s="291" t="s">
        <v>1152</v>
      </c>
      <c r="D175" s="291" t="s">
        <v>1152</v>
      </c>
      <c r="E175" s="290" t="s">
        <v>1813</v>
      </c>
      <c r="F175" s="290" t="s">
        <v>900</v>
      </c>
      <c r="G175" s="290" t="s">
        <v>1814</v>
      </c>
      <c r="H175" s="204" t="str" cm="1">
        <f t="array" ref="H175">IFERROR(TRIM(LEFT(SUBSTITUTE(MID(G175,FIND("SK:",G175)+3,50),"-",REPT(" ",50)),50)),IFERROR(TRIM(LEFT(SUBSTITUTE(MID(J175,FIND("SK:",J175)+3,50),"-",REPT(" ",50)),50)),IFERROR(INDEX($H$6:$H$211,MATCH(1,(($I$6:$I$211=I175)*(ISNUMBER(SEARCH("SK:",$G$6:$G$211)))),0)),"")))</f>
        <v>RLLVFPNTXTH743745</v>
      </c>
      <c r="I175" s="290" t="s">
        <v>1815</v>
      </c>
      <c r="J175" s="290" t="s">
        <v>1814</v>
      </c>
      <c r="K175" s="290" t="s">
        <v>1313</v>
      </c>
      <c r="L175" s="292">
        <v>1</v>
      </c>
      <c r="M175" s="293">
        <v>619627273</v>
      </c>
      <c r="N175" s="294">
        <v>619627273</v>
      </c>
      <c r="O175" s="294">
        <v>61962727</v>
      </c>
      <c r="P175" s="294">
        <v>0</v>
      </c>
      <c r="Q175" s="294">
        <v>681590000</v>
      </c>
      <c r="R175" s="293">
        <v>653672727</v>
      </c>
      <c r="S175" s="294">
        <v>653672727</v>
      </c>
      <c r="T175" s="290" t="s">
        <v>12</v>
      </c>
      <c r="U175" s="290" t="s">
        <v>1318</v>
      </c>
      <c r="V175" s="290" t="s">
        <v>11</v>
      </c>
      <c r="W175" s="290" t="s">
        <v>9</v>
      </c>
      <c r="X175" s="290" t="s">
        <v>10</v>
      </c>
      <c r="Y175" s="204" t="s">
        <v>1312</v>
      </c>
      <c r="Z175" s="313">
        <f t="shared" si="2"/>
        <v>719039999.70000005</v>
      </c>
      <c r="AA175" s="314">
        <f>VLOOKUP(H175,'Dự thu chiết khấu'!$L$4:$AB$204,17,0)-Z175</f>
        <v>0.29999995231628418</v>
      </c>
    </row>
    <row r="176" spans="1:27" ht="10.5" hidden="1" customHeight="1">
      <c r="A176" s="289">
        <v>46140</v>
      </c>
      <c r="B176" s="290" t="s">
        <v>8</v>
      </c>
      <c r="C176" s="291" t="s">
        <v>1258</v>
      </c>
      <c r="D176" s="291" t="s">
        <v>1258</v>
      </c>
      <c r="E176" s="290" t="s">
        <v>1816</v>
      </c>
      <c r="F176" s="290" t="s">
        <v>906</v>
      </c>
      <c r="G176" s="290" t="s">
        <v>1817</v>
      </c>
      <c r="H176" s="204" t="str" cm="1">
        <f t="array" ref="H176">IFERROR(TRIM(LEFT(SUBSTITUTE(MID(G176,FIND("SK:",G176)+3,50),"-",REPT(" ",50)),50)),IFERROR(TRIM(LEFT(SUBSTITUTE(MID(J176,FIND("SK:",J176)+3,50),"-",REPT(" ",50)),50)),IFERROR(INDEX($H$6:$H$211,MATCH(1,(($I$6:$I$211=I176)*(ISNUMBER(SEARCH("SK:",$G$6:$G$211)))),0)),"")))</f>
        <v>RLNVBL9K7TT713919</v>
      </c>
      <c r="I176" s="290" t="s">
        <v>1818</v>
      </c>
      <c r="J176" s="290" t="s">
        <v>1817</v>
      </c>
      <c r="K176" s="290" t="s">
        <v>1313</v>
      </c>
      <c r="L176" s="292">
        <v>1</v>
      </c>
      <c r="M176" s="293">
        <v>249836364</v>
      </c>
      <c r="N176" s="294">
        <v>249836364</v>
      </c>
      <c r="O176" s="294">
        <v>24983636</v>
      </c>
      <c r="P176" s="294">
        <v>0</v>
      </c>
      <c r="Q176" s="294">
        <v>274820000</v>
      </c>
      <c r="R176" s="293">
        <v>263563636</v>
      </c>
      <c r="S176" s="294">
        <v>263563636</v>
      </c>
      <c r="T176" s="290" t="s">
        <v>12</v>
      </c>
      <c r="U176" s="290" t="s">
        <v>1318</v>
      </c>
      <c r="V176" s="290" t="s">
        <v>11</v>
      </c>
      <c r="W176" s="290" t="s">
        <v>9</v>
      </c>
      <c r="X176" s="290" t="s">
        <v>10</v>
      </c>
      <c r="Y176" s="204" t="s">
        <v>1312</v>
      </c>
      <c r="Z176" s="313">
        <f t="shared" si="2"/>
        <v>289919999.60000002</v>
      </c>
      <c r="AA176" s="314">
        <f>VLOOKUP(H176,'Dự thu chiết khấu'!$L$4:$AB$204,17,0)-Z176</f>
        <v>0.39999997615814209</v>
      </c>
    </row>
    <row r="177" spans="1:27" ht="10.5" hidden="1" customHeight="1">
      <c r="A177" s="289">
        <v>46140</v>
      </c>
      <c r="B177" s="290" t="s">
        <v>8</v>
      </c>
      <c r="C177" s="291" t="s">
        <v>1259</v>
      </c>
      <c r="D177" s="291" t="s">
        <v>1259</v>
      </c>
      <c r="E177" s="290" t="s">
        <v>1819</v>
      </c>
      <c r="F177" s="290" t="s">
        <v>1260</v>
      </c>
      <c r="G177" s="290" t="s">
        <v>1820</v>
      </c>
      <c r="H177" s="204" t="str" cm="1">
        <f t="array" ref="H177">IFERROR(TRIM(LEFT(SUBSTITUTE(MID(G177,FIND("SK:",G177)+3,50),"-",REPT(" ",50)),50)),IFERROR(TRIM(LEFT(SUBSTITUTE(MID(J177,FIND("SK:",J177)+3,50),"-",REPT(" ",50)),50)),IFERROR(INDEX($H$6:$H$211,MATCH(1,(($I$6:$I$211=I177)*(ISNUMBER(SEARCH("SK:",$G$6:$G$211)))),0)),"")))</f>
        <v>RLLVFPNT5TH749663</v>
      </c>
      <c r="I177" s="290" t="s">
        <v>1821</v>
      </c>
      <c r="J177" s="290" t="s">
        <v>1820</v>
      </c>
      <c r="K177" s="290" t="s">
        <v>1313</v>
      </c>
      <c r="L177" s="292">
        <v>1</v>
      </c>
      <c r="M177" s="293">
        <v>640054545</v>
      </c>
      <c r="N177" s="294">
        <v>640054545</v>
      </c>
      <c r="O177" s="294">
        <v>64005455</v>
      </c>
      <c r="P177" s="294">
        <v>0</v>
      </c>
      <c r="Q177" s="294">
        <v>704060000</v>
      </c>
      <c r="R177" s="293">
        <v>653672727</v>
      </c>
      <c r="S177" s="294">
        <v>653672727</v>
      </c>
      <c r="T177" s="290" t="s">
        <v>12</v>
      </c>
      <c r="U177" s="290" t="s">
        <v>1314</v>
      </c>
      <c r="V177" s="290" t="s">
        <v>11</v>
      </c>
      <c r="W177" s="290" t="s">
        <v>9</v>
      </c>
      <c r="X177" s="290" t="s">
        <v>15</v>
      </c>
      <c r="Y177" s="204" t="s">
        <v>1312</v>
      </c>
      <c r="Z177" s="313">
        <f t="shared" si="2"/>
        <v>719039999.70000005</v>
      </c>
      <c r="AA177" s="314">
        <f>VLOOKUP(H177,'Dự thu chiết khấu'!$L$4:$AB$204,17,0)-Z177</f>
        <v>0.29999995231628418</v>
      </c>
    </row>
    <row r="178" spans="1:27" ht="10.5" hidden="1" customHeight="1">
      <c r="A178" s="289">
        <v>46140</v>
      </c>
      <c r="B178" s="290" t="s">
        <v>8</v>
      </c>
      <c r="C178" s="291" t="s">
        <v>1261</v>
      </c>
      <c r="D178" s="291" t="s">
        <v>1261</v>
      </c>
      <c r="E178" s="290" t="s">
        <v>1822</v>
      </c>
      <c r="F178" s="290" t="s">
        <v>1262</v>
      </c>
      <c r="G178" s="290" t="s">
        <v>1823</v>
      </c>
      <c r="H178" s="204" t="str" cm="1">
        <f t="array" ref="H178">IFERROR(TRIM(LEFT(SUBSTITUTE(MID(G178,FIND("SK:",G178)+3,50),"-",REPT(" ",50)),50)),IFERROR(TRIM(LEFT(SUBSTITUTE(MID(J178,FIND("SK:",J178)+3,50),"-",REPT(" ",50)),50)),IFERROR(INDEX($H$6:$H$211,MATCH(1,(($I$6:$I$211=I178)*(ISNUMBER(SEARCH("SK:",$G$6:$G$211)))),0)),"")))</f>
        <v>RLLVFPNT7TH750555</v>
      </c>
      <c r="I178" s="290" t="s">
        <v>1824</v>
      </c>
      <c r="J178" s="290" t="s">
        <v>1823</v>
      </c>
      <c r="K178" s="290" t="s">
        <v>1313</v>
      </c>
      <c r="L178" s="292">
        <v>1</v>
      </c>
      <c r="M178" s="293">
        <v>630963636</v>
      </c>
      <c r="N178" s="294">
        <v>630963636</v>
      </c>
      <c r="O178" s="294">
        <v>63096364</v>
      </c>
      <c r="P178" s="294">
        <v>0</v>
      </c>
      <c r="Q178" s="294">
        <v>694060000</v>
      </c>
      <c r="R178" s="293">
        <v>653672727</v>
      </c>
      <c r="S178" s="294">
        <v>653672727</v>
      </c>
      <c r="T178" s="290" t="s">
        <v>12</v>
      </c>
      <c r="U178" s="290" t="s">
        <v>1318</v>
      </c>
      <c r="V178" s="290" t="s">
        <v>11</v>
      </c>
      <c r="W178" s="290" t="s">
        <v>9</v>
      </c>
      <c r="X178" s="290" t="s">
        <v>15</v>
      </c>
      <c r="Y178" s="204" t="s">
        <v>1312</v>
      </c>
      <c r="Z178" s="313">
        <f t="shared" si="2"/>
        <v>719039999.70000005</v>
      </c>
      <c r="AA178" s="314">
        <f>VLOOKUP(H178,'Dự thu chiết khấu'!$L$4:$AB$204,17,0)-Z178</f>
        <v>0.29999995231628418</v>
      </c>
    </row>
    <row r="179" spans="1:27" ht="10.5" hidden="1" customHeight="1">
      <c r="A179" s="289">
        <v>46140</v>
      </c>
      <c r="B179" s="290" t="s">
        <v>8</v>
      </c>
      <c r="C179" s="291" t="s">
        <v>1151</v>
      </c>
      <c r="D179" s="291" t="s">
        <v>1151</v>
      </c>
      <c r="E179" s="290" t="s">
        <v>1825</v>
      </c>
      <c r="F179" s="290" t="s">
        <v>20</v>
      </c>
      <c r="G179" s="290" t="s">
        <v>1826</v>
      </c>
      <c r="H179" s="204" t="str" cm="1">
        <f t="array" ref="H179">IFERROR(TRIM(LEFT(SUBSTITUTE(MID(G179,FIND("SK:",G179)+3,50),"-",REPT(" ",50)),50)),IFERROR(TRIM(LEFT(SUBSTITUTE(MID(J179,FIND("SK:",J179)+3,50),"-",REPT(" ",50)),50)),IFERROR(INDEX($H$6:$H$211,MATCH(1,(($I$6:$I$211=I179)*(ISNUMBER(SEARCH("SK:",$G$6:$G$211)))),0)),"")))</f>
        <v>RNXVGRPK0TT710607</v>
      </c>
      <c r="I179" s="290" t="s">
        <v>1827</v>
      </c>
      <c r="J179" s="290" t="s">
        <v>1826</v>
      </c>
      <c r="K179" s="290" t="s">
        <v>1313</v>
      </c>
      <c r="L179" s="292">
        <v>1</v>
      </c>
      <c r="M179" s="293">
        <v>258818182</v>
      </c>
      <c r="N179" s="294">
        <v>258818182</v>
      </c>
      <c r="O179" s="294">
        <v>25881818</v>
      </c>
      <c r="P179" s="294">
        <v>0</v>
      </c>
      <c r="Q179" s="294">
        <v>284700000</v>
      </c>
      <c r="R179" s="293">
        <v>266181818</v>
      </c>
      <c r="S179" s="294">
        <v>266181818</v>
      </c>
      <c r="T179" s="290" t="s">
        <v>12</v>
      </c>
      <c r="U179" s="290" t="s">
        <v>1318</v>
      </c>
      <c r="V179" s="290" t="s">
        <v>11</v>
      </c>
      <c r="W179" s="290" t="s">
        <v>9</v>
      </c>
      <c r="X179" s="290" t="s">
        <v>10</v>
      </c>
      <c r="Y179" s="204" t="s">
        <v>1312</v>
      </c>
      <c r="Z179" s="313">
        <f t="shared" si="2"/>
        <v>292799999.80000001</v>
      </c>
      <c r="AA179" s="314">
        <f>VLOOKUP(H179,'Dự thu chiết khấu'!$L$4:$AB$204,17,0)-Z179</f>
        <v>0.19999998807907104</v>
      </c>
    </row>
    <row r="180" spans="1:27" ht="10.5" customHeight="1">
      <c r="A180" s="289">
        <v>46141</v>
      </c>
      <c r="B180" s="290" t="s">
        <v>8</v>
      </c>
      <c r="C180" s="291" t="s">
        <v>1828</v>
      </c>
      <c r="D180" s="291" t="s">
        <v>1312</v>
      </c>
      <c r="E180" s="290" t="s">
        <v>17</v>
      </c>
      <c r="F180" s="290" t="s">
        <v>18</v>
      </c>
      <c r="G180" s="290" t="s">
        <v>1829</v>
      </c>
      <c r="H180" s="204" t="str" cm="1">
        <f t="array" ref="H180">IFERROR(TRIM(LEFT(SUBSTITUTE(MID(G180,FIND("SK:",G180)+3,50),"-",REPT(" ",50)),50)),IFERROR(TRIM(LEFT(SUBSTITUTE(MID(J180,FIND("SK:",J180)+3,50),"-",REPT(" ",50)),50)),IFERROR(INDEX($H$6:$H$211,MATCH(1,(($I$6:$I$211=I180)*(ISNUMBER(SEARCH("SK:",$G$6:$G$211)))),0)),"")))</f>
        <v>RLLVFPNT8TH703602</v>
      </c>
      <c r="I180" s="290" t="s">
        <v>1707</v>
      </c>
      <c r="J180" s="290" t="s">
        <v>1706</v>
      </c>
      <c r="K180" s="290" t="s">
        <v>1313</v>
      </c>
      <c r="L180" s="292">
        <v>0</v>
      </c>
      <c r="M180" s="293">
        <v>0</v>
      </c>
      <c r="N180" s="294">
        <v>3052682</v>
      </c>
      <c r="O180" s="294">
        <v>305268</v>
      </c>
      <c r="P180" s="294">
        <v>0</v>
      </c>
      <c r="Q180" s="294">
        <v>3357950</v>
      </c>
      <c r="R180" s="293">
        <v>0</v>
      </c>
      <c r="S180" s="294">
        <v>0</v>
      </c>
      <c r="T180" s="290" t="s">
        <v>12</v>
      </c>
      <c r="U180" s="290" t="s">
        <v>1334</v>
      </c>
      <c r="V180" s="290" t="s">
        <v>11</v>
      </c>
      <c r="W180" s="290" t="s">
        <v>9</v>
      </c>
      <c r="X180" s="290" t="s">
        <v>13</v>
      </c>
      <c r="Y180" s="204" t="s">
        <v>1312</v>
      </c>
      <c r="Z180" s="313">
        <f t="shared" si="2"/>
        <v>0</v>
      </c>
      <c r="AA180" s="314"/>
    </row>
    <row r="181" spans="1:27" ht="10.5" hidden="1" customHeight="1">
      <c r="A181" s="289">
        <v>46141</v>
      </c>
      <c r="B181" s="290" t="s">
        <v>8</v>
      </c>
      <c r="C181" s="291" t="s">
        <v>1150</v>
      </c>
      <c r="D181" s="291" t="s">
        <v>1150</v>
      </c>
      <c r="E181" s="290" t="s">
        <v>1830</v>
      </c>
      <c r="F181" s="290" t="s">
        <v>911</v>
      </c>
      <c r="G181" s="290" t="s">
        <v>1831</v>
      </c>
      <c r="H181" s="204" t="str" cm="1">
        <f t="array" ref="H181">IFERROR(TRIM(LEFT(SUBSTITUTE(MID(G181,FIND("SK:",G181)+3,50),"-",REPT(" ",50)),50)),IFERROR(TRIM(LEFT(SUBSTITUTE(MID(J181,FIND("SK:",J181)+3,50),"-",REPT(" ",50)),50)),IFERROR(INDEX($H$6:$H$211,MATCH(1,(($I$6:$I$211=I181)*(ISNUMBER(SEARCH("SK:",$G$6:$G$211)))),0)),"")))</f>
        <v>RLNVBL9K3TT715909</v>
      </c>
      <c r="I181" s="290" t="s">
        <v>1832</v>
      </c>
      <c r="J181" s="290" t="s">
        <v>1831</v>
      </c>
      <c r="K181" s="290" t="s">
        <v>1313</v>
      </c>
      <c r="L181" s="292">
        <v>1</v>
      </c>
      <c r="M181" s="293">
        <v>258072727</v>
      </c>
      <c r="N181" s="294">
        <v>258072727</v>
      </c>
      <c r="O181" s="294">
        <v>25807273</v>
      </c>
      <c r="P181" s="294">
        <v>0</v>
      </c>
      <c r="Q181" s="294">
        <v>283880000</v>
      </c>
      <c r="R181" s="293">
        <v>263563636</v>
      </c>
      <c r="S181" s="294">
        <v>263563636</v>
      </c>
      <c r="T181" s="290" t="s">
        <v>12</v>
      </c>
      <c r="U181" s="290" t="s">
        <v>1318</v>
      </c>
      <c r="V181" s="290" t="s">
        <v>11</v>
      </c>
      <c r="W181" s="290" t="s">
        <v>9</v>
      </c>
      <c r="X181" s="290" t="s">
        <v>10</v>
      </c>
      <c r="Y181" s="204" t="s">
        <v>1312</v>
      </c>
      <c r="Z181" s="313">
        <f t="shared" si="2"/>
        <v>289919999.60000002</v>
      </c>
      <c r="AA181" s="314">
        <f>VLOOKUP(H181,'Dự thu chiết khấu'!$L$4:$AB$204,17,0)-Z181</f>
        <v>0.39999997615814209</v>
      </c>
    </row>
    <row r="182" spans="1:27" ht="10.5" hidden="1" customHeight="1">
      <c r="A182" s="289">
        <v>46141</v>
      </c>
      <c r="B182" s="290" t="s">
        <v>8</v>
      </c>
      <c r="C182" s="291" t="s">
        <v>1263</v>
      </c>
      <c r="D182" s="291" t="s">
        <v>1263</v>
      </c>
      <c r="E182" s="290" t="s">
        <v>1833</v>
      </c>
      <c r="F182" s="290" t="s">
        <v>914</v>
      </c>
      <c r="G182" s="290" t="s">
        <v>1834</v>
      </c>
      <c r="H182" s="204" t="str" cm="1">
        <f t="array" ref="H182">IFERROR(TRIM(LEFT(SUBSTITUTE(MID(G182,FIND("SK:",G182)+3,50),"-",REPT(" ",50)),50)),IFERROR(TRIM(LEFT(SUBSTITUTE(MID(J182,FIND("SK:",J182)+3,50),"-",REPT(" ",50)),50)),IFERROR(INDEX($H$6:$H$211,MATCH(1,(($I$6:$I$211=I182)*(ISNUMBER(SEARCH("SK:",$G$6:$G$211)))),0)),"")))</f>
        <v>RLLVAG8C9TH746100</v>
      </c>
      <c r="I182" s="290" t="s">
        <v>1835</v>
      </c>
      <c r="J182" s="290" t="s">
        <v>1834</v>
      </c>
      <c r="K182" s="290" t="s">
        <v>1313</v>
      </c>
      <c r="L182" s="292">
        <v>1</v>
      </c>
      <c r="M182" s="293">
        <v>636636364</v>
      </c>
      <c r="N182" s="294">
        <v>636636364</v>
      </c>
      <c r="O182" s="294">
        <v>63663636</v>
      </c>
      <c r="P182" s="294">
        <v>0</v>
      </c>
      <c r="Q182" s="294">
        <v>700300000</v>
      </c>
      <c r="R182" s="293">
        <v>650181818</v>
      </c>
      <c r="S182" s="294">
        <v>650181818</v>
      </c>
      <c r="T182" s="290" t="s">
        <v>12</v>
      </c>
      <c r="U182" s="290" t="s">
        <v>1318</v>
      </c>
      <c r="V182" s="290" t="s">
        <v>11</v>
      </c>
      <c r="W182" s="290" t="s">
        <v>9</v>
      </c>
      <c r="X182" s="290" t="s">
        <v>10</v>
      </c>
      <c r="Y182" s="204" t="s">
        <v>1312</v>
      </c>
      <c r="Z182" s="313">
        <f t="shared" si="2"/>
        <v>715199999.80000007</v>
      </c>
      <c r="AA182" s="314">
        <f>VLOOKUP(H182,'Dự thu chiết khấu'!$L$4:$AB$204,17,0)-Z182</f>
        <v>0.19999992847442627</v>
      </c>
    </row>
    <row r="183" spans="1:27" ht="10.5" hidden="1" customHeight="1">
      <c r="A183" s="289">
        <v>46141</v>
      </c>
      <c r="B183" s="290" t="s">
        <v>8</v>
      </c>
      <c r="C183" s="291" t="s">
        <v>1264</v>
      </c>
      <c r="D183" s="291" t="s">
        <v>1264</v>
      </c>
      <c r="E183" s="290" t="s">
        <v>1836</v>
      </c>
      <c r="F183" s="290" t="s">
        <v>1265</v>
      </c>
      <c r="G183" s="290" t="s">
        <v>1837</v>
      </c>
      <c r="H183" s="204" t="str" cm="1">
        <f t="array" ref="H183">IFERROR(TRIM(LEFT(SUBSTITUTE(MID(G183,FIND("SK:",G183)+3,50),"-",REPT(" ",50)),50)),IFERROR(TRIM(LEFT(SUBSTITUTE(MID(J183,FIND("SK:",J183)+3,50),"-",REPT(" ",50)),50)),IFERROR(INDEX($H$6:$H$211,MATCH(1,(($I$6:$I$211=I183)*(ISNUMBER(SEARCH("SK:",$G$6:$G$211)))),0)),"")))</f>
        <v>RLNVBL9KXTT716605</v>
      </c>
      <c r="I183" s="290" t="s">
        <v>1838</v>
      </c>
      <c r="J183" s="290" t="s">
        <v>1837</v>
      </c>
      <c r="K183" s="290" t="s">
        <v>1313</v>
      </c>
      <c r="L183" s="292">
        <v>1</v>
      </c>
      <c r="M183" s="293">
        <v>252527273</v>
      </c>
      <c r="N183" s="294">
        <v>252527273</v>
      </c>
      <c r="O183" s="294">
        <v>25252727</v>
      </c>
      <c r="P183" s="294">
        <v>0</v>
      </c>
      <c r="Q183" s="294">
        <v>277780000</v>
      </c>
      <c r="R183" s="293">
        <v>281890909</v>
      </c>
      <c r="S183" s="294">
        <v>281890909</v>
      </c>
      <c r="T183" s="290" t="s">
        <v>12</v>
      </c>
      <c r="U183" s="290" t="s">
        <v>1314</v>
      </c>
      <c r="V183" s="290" t="s">
        <v>11</v>
      </c>
      <c r="W183" s="290" t="s">
        <v>9</v>
      </c>
      <c r="X183" s="290" t="s">
        <v>15</v>
      </c>
      <c r="Y183" s="204" t="s">
        <v>1312</v>
      </c>
      <c r="Z183" s="313">
        <f t="shared" si="2"/>
        <v>310079999.90000004</v>
      </c>
      <c r="AA183" s="314">
        <f>VLOOKUP(H183,'Dự thu chiết khấu'!$L$4:$AB$204,17,0)-Z183</f>
        <v>9.9999964237213135E-2</v>
      </c>
    </row>
    <row r="184" spans="1:27" ht="10.5" hidden="1" customHeight="1">
      <c r="A184" s="289">
        <v>46141</v>
      </c>
      <c r="B184" s="290" t="s">
        <v>8</v>
      </c>
      <c r="C184" s="291" t="s">
        <v>1266</v>
      </c>
      <c r="D184" s="291" t="s">
        <v>1266</v>
      </c>
      <c r="E184" s="290" t="s">
        <v>1839</v>
      </c>
      <c r="F184" s="290" t="s">
        <v>1267</v>
      </c>
      <c r="G184" s="290" t="s">
        <v>1840</v>
      </c>
      <c r="H184" s="204" t="str" cm="1">
        <f t="array" ref="H184">IFERROR(TRIM(LEFT(SUBSTITUTE(MID(G184,FIND("SK:",G184)+3,50),"-",REPT(" ",50)),50)),IFERROR(TRIM(LEFT(SUBSTITUTE(MID(J184,FIND("SK:",J184)+3,50),"-",REPT(" ",50)),50)),IFERROR(INDEX($H$6:$H$211,MATCH(1,(($I$6:$I$211=I184)*(ISNUMBER(SEARCH("SK:",$G$6:$G$211)))),0)),"")))</f>
        <v>RLNVBL9K9ST717551</v>
      </c>
      <c r="I184" s="290" t="s">
        <v>1841</v>
      </c>
      <c r="J184" s="290" t="s">
        <v>1840</v>
      </c>
      <c r="K184" s="290" t="s">
        <v>1313</v>
      </c>
      <c r="L184" s="292">
        <v>1</v>
      </c>
      <c r="M184" s="293">
        <v>240090909</v>
      </c>
      <c r="N184" s="294">
        <v>240090909</v>
      </c>
      <c r="O184" s="294">
        <v>24009091</v>
      </c>
      <c r="P184" s="294">
        <v>0</v>
      </c>
      <c r="Q184" s="294">
        <v>264100000</v>
      </c>
      <c r="R184" s="293">
        <v>270545455</v>
      </c>
      <c r="S184" s="294">
        <v>270545455</v>
      </c>
      <c r="T184" s="290" t="s">
        <v>12</v>
      </c>
      <c r="U184" s="290" t="s">
        <v>1314</v>
      </c>
      <c r="V184" s="290" t="s">
        <v>11</v>
      </c>
      <c r="W184" s="290" t="s">
        <v>9</v>
      </c>
      <c r="X184" s="290" t="s">
        <v>15</v>
      </c>
      <c r="Y184" s="204" t="s">
        <v>1312</v>
      </c>
      <c r="Z184" s="313">
        <f t="shared" si="2"/>
        <v>297600000.5</v>
      </c>
      <c r="AA184" s="314">
        <f>VLOOKUP(H184,'Dự thu chiết khấu'!$L$4:$AB$204,17,0)-Z184</f>
        <v>-0.5</v>
      </c>
    </row>
    <row r="185" spans="1:27" ht="10.5" hidden="1" customHeight="1">
      <c r="A185" s="289">
        <v>46141</v>
      </c>
      <c r="B185" s="290" t="s">
        <v>8</v>
      </c>
      <c r="C185" s="291" t="s">
        <v>1268</v>
      </c>
      <c r="D185" s="291" t="s">
        <v>1268</v>
      </c>
      <c r="E185" s="290" t="s">
        <v>1842</v>
      </c>
      <c r="F185" s="290" t="s">
        <v>966</v>
      </c>
      <c r="G185" s="290" t="s">
        <v>1843</v>
      </c>
      <c r="H185" s="204" t="str" cm="1">
        <f t="array" ref="H185">IFERROR(TRIM(LEFT(SUBSTITUTE(MID(G185,FIND("SK:",G185)+3,50),"-",REPT(" ",50)),50)),IFERROR(TRIM(LEFT(SUBSTITUTE(MID(J185,FIND("SK:",J185)+3,50),"-",REPT(" ",50)),50)),IFERROR(INDEX($H$6:$H$211,MATCH(1,(($I$6:$I$211=I185)*(ISNUMBER(SEARCH("SK:",$G$6:$G$211)))),0)),"")))</f>
        <v>RLLVFPNT8TH745476</v>
      </c>
      <c r="I185" s="290" t="s">
        <v>1844</v>
      </c>
      <c r="J185" s="290" t="s">
        <v>1843</v>
      </c>
      <c r="K185" s="290" t="s">
        <v>1313</v>
      </c>
      <c r="L185" s="292">
        <v>1</v>
      </c>
      <c r="M185" s="293">
        <v>629145455</v>
      </c>
      <c r="N185" s="294">
        <v>629145455</v>
      </c>
      <c r="O185" s="294">
        <v>62914545</v>
      </c>
      <c r="P185" s="294">
        <v>0</v>
      </c>
      <c r="Q185" s="294">
        <v>692060000</v>
      </c>
      <c r="R185" s="293">
        <v>653672727</v>
      </c>
      <c r="S185" s="294">
        <v>653672727</v>
      </c>
      <c r="T185" s="290" t="s">
        <v>12</v>
      </c>
      <c r="U185" s="290" t="s">
        <v>1314</v>
      </c>
      <c r="V185" s="290" t="s">
        <v>11</v>
      </c>
      <c r="W185" s="290" t="s">
        <v>9</v>
      </c>
      <c r="X185" s="290" t="s">
        <v>16</v>
      </c>
      <c r="Y185" s="204" t="s">
        <v>1312</v>
      </c>
      <c r="Z185" s="313">
        <f t="shared" si="2"/>
        <v>719039999.70000005</v>
      </c>
      <c r="AA185" s="314">
        <f>VLOOKUP(H185,'Dự thu chiết khấu'!$L$4:$AB$204,17,0)-Z185</f>
        <v>0.29999995231628418</v>
      </c>
    </row>
    <row r="186" spans="1:27" ht="10.5" hidden="1" customHeight="1">
      <c r="A186" s="289">
        <v>46141</v>
      </c>
      <c r="B186" s="290" t="s">
        <v>8</v>
      </c>
      <c r="C186" s="291" t="s">
        <v>1269</v>
      </c>
      <c r="D186" s="291" t="s">
        <v>1269</v>
      </c>
      <c r="E186" s="290" t="s">
        <v>1845</v>
      </c>
      <c r="F186" s="290" t="s">
        <v>1270</v>
      </c>
      <c r="G186" s="290" t="s">
        <v>1846</v>
      </c>
      <c r="H186" s="204" t="str" cm="1">
        <f t="array" ref="H186">IFERROR(TRIM(LEFT(SUBSTITUTE(MID(G186,FIND("SK:",G186)+3,50),"-",REPT(" ",50)),50)),IFERROR(TRIM(LEFT(SUBSTITUTE(MID(J186,FIND("SK:",J186)+3,50),"-",REPT(" ",50)),50)),IFERROR(INDEX($H$6:$H$211,MATCH(1,(($I$6:$I$211=I186)*(ISNUMBER(SEARCH("SK:",$G$6:$G$211)))),0)),"")))</f>
        <v>RLLVFPNT7TH704742</v>
      </c>
      <c r="I186" s="290" t="s">
        <v>1847</v>
      </c>
      <c r="J186" s="290" t="s">
        <v>1846</v>
      </c>
      <c r="K186" s="290" t="s">
        <v>1313</v>
      </c>
      <c r="L186" s="292">
        <v>1</v>
      </c>
      <c r="M186" s="293">
        <v>640054545</v>
      </c>
      <c r="N186" s="294">
        <v>640054545</v>
      </c>
      <c r="O186" s="294">
        <v>64005455</v>
      </c>
      <c r="P186" s="294">
        <v>0</v>
      </c>
      <c r="Q186" s="294">
        <v>704060000</v>
      </c>
      <c r="R186" s="293">
        <v>653672727</v>
      </c>
      <c r="S186" s="294">
        <v>653672727</v>
      </c>
      <c r="T186" s="290" t="s">
        <v>12</v>
      </c>
      <c r="U186" s="290" t="s">
        <v>1314</v>
      </c>
      <c r="V186" s="290" t="s">
        <v>11</v>
      </c>
      <c r="W186" s="290" t="s">
        <v>9</v>
      </c>
      <c r="X186" s="290" t="s">
        <v>15</v>
      </c>
      <c r="Y186" s="204" t="s">
        <v>1312</v>
      </c>
      <c r="Z186" s="313">
        <f t="shared" si="2"/>
        <v>719039999.70000005</v>
      </c>
      <c r="AA186" s="314">
        <f>VLOOKUP(H186,'Dự thu chiết khấu'!$L$4:$AB$204,17,0)-Z186</f>
        <v>0.29999995231628418</v>
      </c>
    </row>
    <row r="187" spans="1:27" ht="10.5" hidden="1" customHeight="1">
      <c r="A187" s="289">
        <v>46141</v>
      </c>
      <c r="B187" s="290" t="s">
        <v>8</v>
      </c>
      <c r="C187" s="291" t="s">
        <v>1271</v>
      </c>
      <c r="D187" s="291" t="s">
        <v>1271</v>
      </c>
      <c r="E187" s="290" t="s">
        <v>1848</v>
      </c>
      <c r="F187" s="290" t="s">
        <v>843</v>
      </c>
      <c r="G187" s="290" t="s">
        <v>1849</v>
      </c>
      <c r="H187" s="204" t="str" cm="1">
        <f t="array" ref="H187">IFERROR(TRIM(LEFT(SUBSTITUTE(MID(G187,FIND("SK:",G187)+3,50),"-",REPT(" ",50)),50)),IFERROR(TRIM(LEFT(SUBSTITUTE(MID(J187,FIND("SK:",J187)+3,50),"-",REPT(" ",50)),50)),IFERROR(INDEX($H$6:$H$211,MATCH(1,(($I$6:$I$211=I187)*(ISNUMBER(SEARCH("SK:",$G$6:$G$211)))),0)),"")))</f>
        <v>RLNVBL9K7TT714861</v>
      </c>
      <c r="I187" s="290" t="s">
        <v>1850</v>
      </c>
      <c r="J187" s="290" t="s">
        <v>1849</v>
      </c>
      <c r="K187" s="290" t="s">
        <v>1313</v>
      </c>
      <c r="L187" s="292">
        <v>1</v>
      </c>
      <c r="M187" s="293">
        <v>258072727</v>
      </c>
      <c r="N187" s="294">
        <v>258072727</v>
      </c>
      <c r="O187" s="294">
        <v>25807273</v>
      </c>
      <c r="P187" s="294">
        <v>0</v>
      </c>
      <c r="Q187" s="294">
        <v>283880000</v>
      </c>
      <c r="R187" s="293">
        <v>263563636</v>
      </c>
      <c r="S187" s="294">
        <v>263563636</v>
      </c>
      <c r="T187" s="290" t="s">
        <v>12</v>
      </c>
      <c r="U187" s="290" t="s">
        <v>1334</v>
      </c>
      <c r="V187" s="290" t="s">
        <v>11</v>
      </c>
      <c r="W187" s="290" t="s">
        <v>9</v>
      </c>
      <c r="X187" s="290" t="s">
        <v>13</v>
      </c>
      <c r="Y187" s="204" t="s">
        <v>1312</v>
      </c>
      <c r="Z187" s="313">
        <f t="shared" si="2"/>
        <v>289919999.60000002</v>
      </c>
      <c r="AA187" s="314">
        <f>VLOOKUP(H187,'Dự thu chiết khấu'!$L$4:$AB$204,17,0)-Z187</f>
        <v>0.39999997615814209</v>
      </c>
    </row>
    <row r="188" spans="1:27" ht="10.5" hidden="1" customHeight="1">
      <c r="A188" s="289">
        <v>46141</v>
      </c>
      <c r="B188" s="290" t="s">
        <v>8</v>
      </c>
      <c r="C188" s="291" t="s">
        <v>1149</v>
      </c>
      <c r="D188" s="291" t="s">
        <v>1149</v>
      </c>
      <c r="E188" s="290" t="s">
        <v>1851</v>
      </c>
      <c r="F188" s="290" t="s">
        <v>734</v>
      </c>
      <c r="G188" s="290" t="s">
        <v>1852</v>
      </c>
      <c r="H188" s="204" t="str" cm="1">
        <f t="array" ref="H188">IFERROR(TRIM(LEFT(SUBSTITUTE(MID(G188,FIND("SK:",G188)+3,50),"-",REPT(" ",50)),50)),IFERROR(TRIM(LEFT(SUBSTITUTE(MID(J188,FIND("SK:",J188)+3,50),"-",REPT(" ",50)),50)),IFERROR(INDEX($H$6:$H$211,MATCH(1,(($I$6:$I$211=I188)*(ISNUMBER(SEARCH("SK:",$G$6:$G$211)))),0)),"")))</f>
        <v>RLLVFPNT6TH747484</v>
      </c>
      <c r="I188" s="290" t="s">
        <v>1853</v>
      </c>
      <c r="J188" s="290" t="s">
        <v>1852</v>
      </c>
      <c r="K188" s="290" t="s">
        <v>1313</v>
      </c>
      <c r="L188" s="292">
        <v>1</v>
      </c>
      <c r="M188" s="293">
        <v>640054545</v>
      </c>
      <c r="N188" s="294">
        <v>640054545</v>
      </c>
      <c r="O188" s="294">
        <v>64005455</v>
      </c>
      <c r="P188" s="294">
        <v>0</v>
      </c>
      <c r="Q188" s="294">
        <v>704060000</v>
      </c>
      <c r="R188" s="293">
        <v>653672727</v>
      </c>
      <c r="S188" s="294">
        <v>653672727</v>
      </c>
      <c r="T188" s="290" t="s">
        <v>12</v>
      </c>
      <c r="U188" s="290" t="s">
        <v>1334</v>
      </c>
      <c r="V188" s="290" t="s">
        <v>11</v>
      </c>
      <c r="W188" s="290" t="s">
        <v>9</v>
      </c>
      <c r="X188" s="290" t="s">
        <v>13</v>
      </c>
      <c r="Y188" s="204" t="s">
        <v>1312</v>
      </c>
      <c r="Z188" s="313">
        <f t="shared" si="2"/>
        <v>719039999.70000005</v>
      </c>
      <c r="AA188" s="314">
        <f>VLOOKUP(H188,'Dự thu chiết khấu'!$L$4:$AB$204,17,0)-Z188</f>
        <v>0.29999995231628418</v>
      </c>
    </row>
    <row r="189" spans="1:27" ht="10.5" hidden="1" customHeight="1">
      <c r="A189" s="289">
        <v>46141</v>
      </c>
      <c r="B189" s="290" t="s">
        <v>8</v>
      </c>
      <c r="C189" s="291" t="s">
        <v>1272</v>
      </c>
      <c r="D189" s="291" t="s">
        <v>1272</v>
      </c>
      <c r="E189" s="290" t="s">
        <v>1854</v>
      </c>
      <c r="F189" s="290" t="s">
        <v>1273</v>
      </c>
      <c r="G189" s="290" t="s">
        <v>1855</v>
      </c>
      <c r="H189" s="204" t="str" cm="1">
        <f t="array" ref="H189">IFERROR(TRIM(LEFT(SUBSTITUTE(MID(G189,FIND("SK:",G189)+3,50),"-",REPT(" ",50)),50)),IFERROR(TRIM(LEFT(SUBSTITUTE(MID(J189,FIND("SK:",J189)+3,50),"-",REPT(" ",50)),50)),IFERROR(INDEX($H$6:$H$211,MATCH(1,(($I$6:$I$211=I189)*(ISNUMBER(SEARCH("SK:",$G$6:$G$211)))),0)),"")))</f>
        <v>RLLVFPNT3SH894909</v>
      </c>
      <c r="I189" s="290" t="s">
        <v>1856</v>
      </c>
      <c r="J189" s="290" t="s">
        <v>1855</v>
      </c>
      <c r="K189" s="290" t="s">
        <v>1313</v>
      </c>
      <c r="L189" s="292">
        <v>1</v>
      </c>
      <c r="M189" s="293">
        <v>614195182</v>
      </c>
      <c r="N189" s="294">
        <v>614195182</v>
      </c>
      <c r="O189" s="294">
        <v>61419518</v>
      </c>
      <c r="P189" s="294">
        <v>0</v>
      </c>
      <c r="Q189" s="294">
        <v>675614700</v>
      </c>
      <c r="R189" s="293">
        <v>653672727</v>
      </c>
      <c r="S189" s="294">
        <v>653672727</v>
      </c>
      <c r="T189" s="290" t="s">
        <v>12</v>
      </c>
      <c r="U189" s="290" t="s">
        <v>1314</v>
      </c>
      <c r="V189" s="290" t="s">
        <v>11</v>
      </c>
      <c r="W189" s="290" t="s">
        <v>9</v>
      </c>
      <c r="X189" s="290" t="s">
        <v>15</v>
      </c>
      <c r="Y189" s="204" t="s">
        <v>1312</v>
      </c>
      <c r="Z189" s="313">
        <f t="shared" si="2"/>
        <v>719039999.70000005</v>
      </c>
      <c r="AA189" s="314">
        <f>VLOOKUP(H189,'Dự thu chiết khấu'!$L$4:$AB$204,17,0)-Z189</f>
        <v>0.29999995231628418</v>
      </c>
    </row>
    <row r="190" spans="1:27" ht="10.5" hidden="1" customHeight="1">
      <c r="A190" s="289">
        <v>46141</v>
      </c>
      <c r="B190" s="290" t="s">
        <v>8</v>
      </c>
      <c r="C190" s="291" t="s">
        <v>1146</v>
      </c>
      <c r="D190" s="291" t="s">
        <v>1146</v>
      </c>
      <c r="E190" s="290" t="s">
        <v>1857</v>
      </c>
      <c r="F190" s="290" t="s">
        <v>970</v>
      </c>
      <c r="G190" s="290" t="s">
        <v>1858</v>
      </c>
      <c r="H190" s="204" t="str" cm="1">
        <f t="array" ref="H190">IFERROR(TRIM(LEFT(SUBSTITUTE(MID(G190,FIND("SK:",G190)+3,50),"-",REPT(" ",50)),50)),IFERROR(TRIM(LEFT(SUBSTITUTE(MID(J190,FIND("SK:",J190)+3,50),"-",REPT(" ",50)),50)),IFERROR(INDEX($H$6:$H$211,MATCH(1,(($I$6:$I$211=I190)*(ISNUMBER(SEARCH("SK:",$G$6:$G$211)))),0)),"")))</f>
        <v>RLNV5JSE9SH889579</v>
      </c>
      <c r="I190" s="290" t="s">
        <v>1859</v>
      </c>
      <c r="J190" s="290" t="s">
        <v>1858</v>
      </c>
      <c r="K190" s="290" t="s">
        <v>1313</v>
      </c>
      <c r="L190" s="292">
        <v>1</v>
      </c>
      <c r="M190" s="293">
        <v>467272727</v>
      </c>
      <c r="N190" s="294">
        <v>467272727</v>
      </c>
      <c r="O190" s="294">
        <v>46727273</v>
      </c>
      <c r="P190" s="294">
        <v>0</v>
      </c>
      <c r="Q190" s="294">
        <v>514000000</v>
      </c>
      <c r="R190" s="293">
        <v>466481818</v>
      </c>
      <c r="S190" s="294">
        <v>466481818</v>
      </c>
      <c r="T190" s="290" t="s">
        <v>12</v>
      </c>
      <c r="U190" s="290" t="s">
        <v>1314</v>
      </c>
      <c r="V190" s="290" t="s">
        <v>11</v>
      </c>
      <c r="W190" s="290" t="s">
        <v>9</v>
      </c>
      <c r="X190" s="290" t="s">
        <v>16</v>
      </c>
      <c r="Y190" s="204" t="s">
        <v>1312</v>
      </c>
      <c r="Z190" s="313">
        <f t="shared" si="2"/>
        <v>513129999.80000001</v>
      </c>
      <c r="AA190" s="314">
        <f>VLOOKUP(H190,'Dự thu chiết khấu'!$L$4:$AB$204,17,0)-Z190</f>
        <v>0.19999998807907104</v>
      </c>
    </row>
    <row r="191" spans="1:27" ht="10.5" hidden="1" customHeight="1">
      <c r="A191" s="289">
        <v>46141</v>
      </c>
      <c r="B191" s="290" t="s">
        <v>8</v>
      </c>
      <c r="C191" s="291" t="s">
        <v>1148</v>
      </c>
      <c r="D191" s="291" t="s">
        <v>1148</v>
      </c>
      <c r="E191" s="290" t="s">
        <v>1860</v>
      </c>
      <c r="F191" s="290" t="s">
        <v>973</v>
      </c>
      <c r="G191" s="290" t="s">
        <v>1861</v>
      </c>
      <c r="H191" s="204" t="str" cm="1">
        <f t="array" ref="H191">IFERROR(TRIM(LEFT(SUBSTITUTE(MID(G191,FIND("SK:",G191)+3,50),"-",REPT(" ",50)),50)),IFERROR(TRIM(LEFT(SUBSTITUTE(MID(J191,FIND("SK:",J191)+3,50),"-",REPT(" ",50)),50)),IFERROR(INDEX($H$6:$H$211,MATCH(1,(($I$6:$I$211=I191)*(ISNUMBER(SEARCH("SK:",$G$6:$G$211)))),0)),"")))</f>
        <v>RLLVFPNTXTH753966</v>
      </c>
      <c r="I191" s="290" t="s">
        <v>1862</v>
      </c>
      <c r="J191" s="290" t="s">
        <v>1861</v>
      </c>
      <c r="K191" s="290" t="s">
        <v>1313</v>
      </c>
      <c r="L191" s="292">
        <v>1</v>
      </c>
      <c r="M191" s="293">
        <v>608718182</v>
      </c>
      <c r="N191" s="294">
        <v>608718182</v>
      </c>
      <c r="O191" s="294">
        <v>60871818</v>
      </c>
      <c r="P191" s="294">
        <v>0</v>
      </c>
      <c r="Q191" s="294">
        <v>669590000</v>
      </c>
      <c r="R191" s="293">
        <v>653672727</v>
      </c>
      <c r="S191" s="294">
        <v>653672727</v>
      </c>
      <c r="T191" s="290" t="s">
        <v>12</v>
      </c>
      <c r="U191" s="290" t="s">
        <v>1334</v>
      </c>
      <c r="V191" s="290" t="s">
        <v>11</v>
      </c>
      <c r="W191" s="290" t="s">
        <v>9</v>
      </c>
      <c r="X191" s="290" t="s">
        <v>16</v>
      </c>
      <c r="Y191" s="204" t="s">
        <v>1312</v>
      </c>
      <c r="Z191" s="313">
        <f t="shared" si="2"/>
        <v>719039999.70000005</v>
      </c>
      <c r="AA191" s="314">
        <f>VLOOKUP(H191,'Dự thu chiết khấu'!$L$4:$AB$204,17,0)-Z191</f>
        <v>0.29999995231628418</v>
      </c>
    </row>
    <row r="192" spans="1:27" ht="10.5" hidden="1" customHeight="1">
      <c r="A192" s="289">
        <v>46141</v>
      </c>
      <c r="B192" s="290" t="s">
        <v>8</v>
      </c>
      <c r="C192" s="291" t="s">
        <v>1274</v>
      </c>
      <c r="D192" s="291" t="s">
        <v>1274</v>
      </c>
      <c r="E192" s="290" t="s">
        <v>1863</v>
      </c>
      <c r="F192" s="290" t="s">
        <v>920</v>
      </c>
      <c r="G192" s="290" t="s">
        <v>1864</v>
      </c>
      <c r="H192" s="204" t="str" cm="1">
        <f t="array" ref="H192">IFERROR(TRIM(LEFT(SUBSTITUTE(MID(G192,FIND("SK:",G192)+3,50),"-",REPT(" ",50)),50)),IFERROR(TRIM(LEFT(SUBSTITUTE(MID(J192,FIND("SK:",J192)+3,50),"-",REPT(" ",50)),50)),IFERROR(INDEX($H$6:$H$211,MATCH(1,(($I$6:$I$211=I192)*(ISNUMBER(SEARCH("SK:",$G$6:$G$211)))),0)),"")))</f>
        <v>RLLVFPTT3TH747784</v>
      </c>
      <c r="I192" s="290" t="s">
        <v>1865</v>
      </c>
      <c r="J192" s="290" t="s">
        <v>1864</v>
      </c>
      <c r="K192" s="290" t="s">
        <v>1313</v>
      </c>
      <c r="L192" s="292">
        <v>1</v>
      </c>
      <c r="M192" s="293">
        <v>699872727</v>
      </c>
      <c r="N192" s="294">
        <v>699872727</v>
      </c>
      <c r="O192" s="294">
        <v>69987273</v>
      </c>
      <c r="P192" s="294">
        <v>0</v>
      </c>
      <c r="Q192" s="294">
        <v>769860000</v>
      </c>
      <c r="R192" s="293">
        <v>714763636</v>
      </c>
      <c r="S192" s="294">
        <v>714763636</v>
      </c>
      <c r="T192" s="290" t="s">
        <v>12</v>
      </c>
      <c r="U192" s="290" t="s">
        <v>1334</v>
      </c>
      <c r="V192" s="290" t="s">
        <v>11</v>
      </c>
      <c r="W192" s="290" t="s">
        <v>9</v>
      </c>
      <c r="X192" s="290" t="s">
        <v>10</v>
      </c>
      <c r="Y192" s="204" t="s">
        <v>1312</v>
      </c>
      <c r="Z192" s="313">
        <f t="shared" si="2"/>
        <v>786239999.60000002</v>
      </c>
      <c r="AA192" s="314">
        <f>VLOOKUP(H192,'Dự thu chiết khấu'!$L$4:$AB$204,17,0)-Z192</f>
        <v>0.39999997615814209</v>
      </c>
    </row>
    <row r="193" spans="1:27" ht="10.5" hidden="1" customHeight="1">
      <c r="A193" s="289">
        <v>46141</v>
      </c>
      <c r="B193" s="290" t="s">
        <v>8</v>
      </c>
      <c r="C193" s="291" t="s">
        <v>1275</v>
      </c>
      <c r="D193" s="291" t="s">
        <v>1275</v>
      </c>
      <c r="E193" s="290" t="s">
        <v>1866</v>
      </c>
      <c r="F193" s="290" t="s">
        <v>1276</v>
      </c>
      <c r="G193" s="290" t="s">
        <v>1867</v>
      </c>
      <c r="H193" s="204" t="str" cm="1">
        <f t="array" ref="H193">IFERROR(TRIM(LEFT(SUBSTITUTE(MID(G193,FIND("SK:",G193)+3,50),"-",REPT(" ",50)),50)),IFERROR(TRIM(LEFT(SUBSTITUTE(MID(J193,FIND("SK:",J193)+3,50),"-",REPT(" ",50)),50)),IFERROR(INDEX($H$6:$H$211,MATCH(1,(($I$6:$I$211=I193)*(ISNUMBER(SEARCH("SK:",$G$6:$G$211)))),0)),"")))</f>
        <v>RLLVAG8C6TH747656</v>
      </c>
      <c r="I193" s="290" t="s">
        <v>1868</v>
      </c>
      <c r="J193" s="290" t="s">
        <v>1867</v>
      </c>
      <c r="K193" s="290" t="s">
        <v>1313</v>
      </c>
      <c r="L193" s="292">
        <v>1</v>
      </c>
      <c r="M193" s="293">
        <v>625727273</v>
      </c>
      <c r="N193" s="294">
        <v>625727273</v>
      </c>
      <c r="O193" s="294">
        <v>62572727</v>
      </c>
      <c r="P193" s="294">
        <v>0</v>
      </c>
      <c r="Q193" s="294">
        <v>688300000</v>
      </c>
      <c r="R193" s="293">
        <v>650181818</v>
      </c>
      <c r="S193" s="294">
        <v>650181818</v>
      </c>
      <c r="T193" s="290" t="s">
        <v>12</v>
      </c>
      <c r="U193" s="290" t="s">
        <v>1318</v>
      </c>
      <c r="V193" s="290" t="s">
        <v>11</v>
      </c>
      <c r="W193" s="290" t="s">
        <v>9</v>
      </c>
      <c r="X193" s="290" t="s">
        <v>10</v>
      </c>
      <c r="Y193" s="204" t="s">
        <v>1312</v>
      </c>
      <c r="Z193" s="313">
        <f t="shared" si="2"/>
        <v>715199999.80000007</v>
      </c>
      <c r="AA193" s="314">
        <f>VLOOKUP(H193,'Dự thu chiết khấu'!$L$4:$AB$204,17,0)-Z193</f>
        <v>0.19999992847442627</v>
      </c>
    </row>
    <row r="194" spans="1:27" ht="10.5" hidden="1" customHeight="1">
      <c r="A194" s="289">
        <v>46141</v>
      </c>
      <c r="B194" s="290" t="s">
        <v>8</v>
      </c>
      <c r="C194" s="291" t="s">
        <v>1277</v>
      </c>
      <c r="D194" s="291" t="s">
        <v>1277</v>
      </c>
      <c r="E194" s="290" t="s">
        <v>1869</v>
      </c>
      <c r="F194" s="290" t="s">
        <v>1278</v>
      </c>
      <c r="G194" s="290" t="s">
        <v>1870</v>
      </c>
      <c r="H194" s="204" t="str" cm="1">
        <f t="array" ref="H194">IFERROR(TRIM(LEFT(SUBSTITUTE(MID(G194,FIND("SK:",G194)+3,50),"-",REPT(" ",50)),50)),IFERROR(TRIM(LEFT(SUBSTITUTE(MID(J194,FIND("SK:",J194)+3,50),"-",REPT(" ",50)),50)),IFERROR(INDEX($H$6:$H$211,MATCH(1,(($I$6:$I$211=I194)*(ISNUMBER(SEARCH("SK:",$G$6:$G$211)))),0)),"")))</f>
        <v>RLLVAGND0TH731286</v>
      </c>
      <c r="I194" s="290" t="s">
        <v>1871</v>
      </c>
      <c r="J194" s="290" t="s">
        <v>1870</v>
      </c>
      <c r="K194" s="290" t="s">
        <v>1313</v>
      </c>
      <c r="L194" s="292">
        <v>1</v>
      </c>
      <c r="M194" s="293">
        <v>560900000</v>
      </c>
      <c r="N194" s="294">
        <v>560900000</v>
      </c>
      <c r="O194" s="294">
        <v>56090000</v>
      </c>
      <c r="P194" s="294">
        <v>0</v>
      </c>
      <c r="Q194" s="294">
        <v>616990000</v>
      </c>
      <c r="R194" s="293">
        <v>601309091</v>
      </c>
      <c r="S194" s="294">
        <v>601309091</v>
      </c>
      <c r="T194" s="290" t="s">
        <v>12</v>
      </c>
      <c r="U194" s="290" t="s">
        <v>1334</v>
      </c>
      <c r="V194" s="290" t="s">
        <v>11</v>
      </c>
      <c r="W194" s="290" t="s">
        <v>9</v>
      </c>
      <c r="X194" s="290" t="s">
        <v>15</v>
      </c>
      <c r="Y194" s="204" t="s">
        <v>1312</v>
      </c>
      <c r="Z194" s="313">
        <f t="shared" si="2"/>
        <v>661440000.10000002</v>
      </c>
      <c r="AA194" s="314">
        <f>VLOOKUP(H194,'Dự thu chiết khấu'!$L$4:$AB$204,17,0)-Z194</f>
        <v>-0.10000002384185791</v>
      </c>
    </row>
    <row r="195" spans="1:27" ht="10.5" hidden="1" customHeight="1">
      <c r="A195" s="289">
        <v>46141</v>
      </c>
      <c r="B195" s="290" t="s">
        <v>8</v>
      </c>
      <c r="C195" s="291" t="s">
        <v>1279</v>
      </c>
      <c r="D195" s="291" t="s">
        <v>1279</v>
      </c>
      <c r="E195" s="290" t="s">
        <v>1872</v>
      </c>
      <c r="F195" s="290" t="s">
        <v>1280</v>
      </c>
      <c r="G195" s="290" t="s">
        <v>1873</v>
      </c>
      <c r="H195" s="204" t="str" cm="1">
        <f t="array" ref="H195">IFERROR(TRIM(LEFT(SUBSTITUTE(MID(G195,FIND("SK:",G195)+3,50),"-",REPT(" ",50)),50)),IFERROR(TRIM(LEFT(SUBSTITUTE(MID(J195,FIND("SK:",J195)+3,50),"-",REPT(" ",50)),50)),IFERROR(INDEX($H$6:$H$211,MATCH(1,(($I$6:$I$211=I195)*(ISNUMBER(SEARCH("SK:",$G$6:$G$211)))),0)),"")))</f>
        <v>RLLVFPTT4TH740665</v>
      </c>
      <c r="I195" s="290" t="s">
        <v>1874</v>
      </c>
      <c r="J195" s="290" t="s">
        <v>1873</v>
      </c>
      <c r="K195" s="290" t="s">
        <v>1313</v>
      </c>
      <c r="L195" s="292">
        <v>1</v>
      </c>
      <c r="M195" s="293">
        <v>677536364</v>
      </c>
      <c r="N195" s="294">
        <v>677536364</v>
      </c>
      <c r="O195" s="294">
        <v>67753636</v>
      </c>
      <c r="P195" s="294">
        <v>0</v>
      </c>
      <c r="Q195" s="294">
        <v>745290000</v>
      </c>
      <c r="R195" s="293">
        <v>714763636</v>
      </c>
      <c r="S195" s="294">
        <v>714763636</v>
      </c>
      <c r="T195" s="290" t="s">
        <v>12</v>
      </c>
      <c r="U195" s="290" t="s">
        <v>1334</v>
      </c>
      <c r="V195" s="290" t="s">
        <v>11</v>
      </c>
      <c r="W195" s="290" t="s">
        <v>9</v>
      </c>
      <c r="X195" s="290" t="s">
        <v>15</v>
      </c>
      <c r="Y195" s="204" t="s">
        <v>1312</v>
      </c>
      <c r="Z195" s="313">
        <f t="shared" si="2"/>
        <v>786239999.60000002</v>
      </c>
      <c r="AA195" s="314">
        <f>VLOOKUP(H195,'Dự thu chiết khấu'!$L$4:$AB$204,17,0)-Z195</f>
        <v>0.39999997615814209</v>
      </c>
    </row>
    <row r="196" spans="1:27" ht="10.5" hidden="1" customHeight="1">
      <c r="A196" s="289">
        <v>46141</v>
      </c>
      <c r="B196" s="290" t="s">
        <v>8</v>
      </c>
      <c r="C196" s="291" t="s">
        <v>1281</v>
      </c>
      <c r="D196" s="291" t="s">
        <v>1281</v>
      </c>
      <c r="E196" s="290" t="s">
        <v>1880</v>
      </c>
      <c r="F196" s="290" t="s">
        <v>846</v>
      </c>
      <c r="G196" s="290" t="s">
        <v>1881</v>
      </c>
      <c r="H196" s="204" t="str" cm="1">
        <f t="array" ref="H196">IFERROR(TRIM(LEFT(SUBSTITUTE(MID(G196,FIND("SK:",G196)+3,50),"-",REPT(" ",50)),50)),IFERROR(TRIM(LEFT(SUBSTITUTE(MID(J196,FIND("SK:",J196)+3,50),"-",REPT(" ",50)),50)),IFERROR(INDEX($H$6:$H$211,MATCH(1,(($I$6:$I$211=I196)*(ISNUMBER(SEARCH("SK:",$G$6:$G$211)))),0)),"")))</f>
        <v>RLLVFPNT3TH704785</v>
      </c>
      <c r="I196" s="290" t="s">
        <v>1882</v>
      </c>
      <c r="J196" s="290" t="s">
        <v>1881</v>
      </c>
      <c r="K196" s="290" t="s">
        <v>1313</v>
      </c>
      <c r="L196" s="292">
        <v>1</v>
      </c>
      <c r="M196" s="293">
        <v>629145455</v>
      </c>
      <c r="N196" s="294">
        <v>629145455</v>
      </c>
      <c r="O196" s="294">
        <v>62914545</v>
      </c>
      <c r="P196" s="294">
        <v>0</v>
      </c>
      <c r="Q196" s="294">
        <v>692060000</v>
      </c>
      <c r="R196" s="293">
        <v>653672727</v>
      </c>
      <c r="S196" s="294">
        <v>653672727</v>
      </c>
      <c r="T196" s="290" t="s">
        <v>12</v>
      </c>
      <c r="U196" s="290" t="s">
        <v>1334</v>
      </c>
      <c r="V196" s="290" t="s">
        <v>11</v>
      </c>
      <c r="W196" s="290" t="s">
        <v>9</v>
      </c>
      <c r="X196" s="290" t="s">
        <v>14</v>
      </c>
      <c r="Y196" s="204" t="s">
        <v>1312</v>
      </c>
      <c r="Z196" s="313">
        <f t="shared" si="2"/>
        <v>719039999.70000005</v>
      </c>
      <c r="AA196" s="314">
        <f>VLOOKUP(H196,'Dự thu chiết khấu'!$L$4:$AB$204,17,0)-Z196</f>
        <v>0.29999995231628418</v>
      </c>
    </row>
    <row r="197" spans="1:27" ht="10.5" hidden="1" customHeight="1">
      <c r="A197" s="289">
        <v>46141</v>
      </c>
      <c r="B197" s="290" t="s">
        <v>8</v>
      </c>
      <c r="C197" s="291" t="s">
        <v>1156</v>
      </c>
      <c r="D197" s="291" t="s">
        <v>1156</v>
      </c>
      <c r="E197" s="290" t="s">
        <v>1883</v>
      </c>
      <c r="F197" s="290" t="s">
        <v>1157</v>
      </c>
      <c r="G197" s="290" t="s">
        <v>1884</v>
      </c>
      <c r="H197" s="204" t="str" cm="1">
        <f t="array" ref="H197">IFERROR(TRIM(LEFT(SUBSTITUTE(MID(G197,FIND("SK:",G197)+3,50),"-",REPT(" ",50)),50)),IFERROR(TRIM(LEFT(SUBSTITUTE(MID(J197,FIND("SK:",J197)+3,50),"-",REPT(" ",50)),50)),IFERROR(INDEX($H$6:$H$211,MATCH(1,(($I$6:$I$211=I197)*(ISNUMBER(SEARCH("SK:",$G$6:$G$211)))),0)),"")))</f>
        <v>RLLVAG8C3TH753253</v>
      </c>
      <c r="I197" s="290" t="s">
        <v>1885</v>
      </c>
      <c r="J197" s="290" t="s">
        <v>1884</v>
      </c>
      <c r="K197" s="290" t="s">
        <v>1313</v>
      </c>
      <c r="L197" s="292">
        <v>1</v>
      </c>
      <c r="M197" s="293">
        <v>647863636</v>
      </c>
      <c r="N197" s="294">
        <v>647863636</v>
      </c>
      <c r="O197" s="294">
        <v>64786364</v>
      </c>
      <c r="P197" s="294">
        <v>0</v>
      </c>
      <c r="Q197" s="294">
        <v>712650000</v>
      </c>
      <c r="R197" s="293">
        <v>650181818</v>
      </c>
      <c r="S197" s="294">
        <v>650181818</v>
      </c>
      <c r="T197" s="290" t="s">
        <v>12</v>
      </c>
      <c r="U197" s="290" t="s">
        <v>1314</v>
      </c>
      <c r="V197" s="290" t="s">
        <v>11</v>
      </c>
      <c r="W197" s="290" t="s">
        <v>9</v>
      </c>
      <c r="X197" s="290" t="s">
        <v>15</v>
      </c>
      <c r="Y197" s="204" t="s">
        <v>1312</v>
      </c>
      <c r="Z197" s="313">
        <f t="shared" si="2"/>
        <v>715199999.80000007</v>
      </c>
      <c r="AA197" s="314">
        <f>VLOOKUP(H197,'Dự thu chiết khấu'!$L$4:$AB$204,17,0)-Z197</f>
        <v>0.19999992847442627</v>
      </c>
    </row>
    <row r="198" spans="1:27" ht="10.5" hidden="1" customHeight="1">
      <c r="A198" s="289">
        <v>46141</v>
      </c>
      <c r="B198" s="290" t="s">
        <v>8</v>
      </c>
      <c r="C198" s="291" t="s">
        <v>1282</v>
      </c>
      <c r="D198" s="291" t="s">
        <v>1282</v>
      </c>
      <c r="E198" s="290" t="s">
        <v>1886</v>
      </c>
      <c r="F198" s="290" t="s">
        <v>1283</v>
      </c>
      <c r="G198" s="290" t="s">
        <v>1887</v>
      </c>
      <c r="H198" s="204" t="str" cm="1">
        <f t="array" ref="H198">IFERROR(TRIM(LEFT(SUBSTITUTE(MID(G198,FIND("SK:",G198)+3,50),"-",REPT(" ",50)),50)),IFERROR(TRIM(LEFT(SUBSTITUTE(MID(J198,FIND("SK:",J198)+3,50),"-",REPT(" ",50)),50)),IFERROR(INDEX($H$6:$H$211,MATCH(1,(($I$6:$I$211=I198)*(ISNUMBER(SEARCH("SK:",$G$6:$G$211)))),0)),"")))</f>
        <v>RLLVFPTT0TH723331</v>
      </c>
      <c r="I198" s="290" t="s">
        <v>1888</v>
      </c>
      <c r="J198" s="290" t="s">
        <v>1887</v>
      </c>
      <c r="K198" s="290" t="s">
        <v>1313</v>
      </c>
      <c r="L198" s="292">
        <v>1</v>
      </c>
      <c r="M198" s="293">
        <v>671172727</v>
      </c>
      <c r="N198" s="294">
        <v>671172727</v>
      </c>
      <c r="O198" s="294">
        <v>67117273</v>
      </c>
      <c r="P198" s="294">
        <v>0</v>
      </c>
      <c r="Q198" s="294">
        <v>738290000</v>
      </c>
      <c r="R198" s="293">
        <v>714763636</v>
      </c>
      <c r="S198" s="294">
        <v>714763636</v>
      </c>
      <c r="T198" s="290" t="s">
        <v>12</v>
      </c>
      <c r="U198" s="290" t="s">
        <v>1334</v>
      </c>
      <c r="V198" s="290" t="s">
        <v>11</v>
      </c>
      <c r="W198" s="290" t="s">
        <v>9</v>
      </c>
      <c r="X198" s="290" t="s">
        <v>15</v>
      </c>
      <c r="Y198" s="204" t="s">
        <v>1312</v>
      </c>
      <c r="Z198" s="313">
        <f t="shared" si="2"/>
        <v>786239999.60000002</v>
      </c>
      <c r="AA198" s="314">
        <f>VLOOKUP(H198,'Dự thu chiết khấu'!$L$4:$AB$204,17,0)-Z198</f>
        <v>0.39999997615814209</v>
      </c>
    </row>
    <row r="199" spans="1:27" ht="10.5" hidden="1" customHeight="1">
      <c r="A199" s="289">
        <v>46141</v>
      </c>
      <c r="B199" s="290" t="s">
        <v>8</v>
      </c>
      <c r="C199" s="291" t="s">
        <v>1284</v>
      </c>
      <c r="D199" s="291" t="s">
        <v>1284</v>
      </c>
      <c r="E199" s="290" t="s">
        <v>1889</v>
      </c>
      <c r="F199" s="290" t="s">
        <v>849</v>
      </c>
      <c r="G199" s="290" t="s">
        <v>1890</v>
      </c>
      <c r="H199" s="204" t="str" cm="1">
        <f t="array" ref="H199">IFERROR(TRIM(LEFT(SUBSTITUTE(MID(G199,FIND("SK:",G199)+3,50),"-",REPT(" ",50)),50)),IFERROR(TRIM(LEFT(SUBSTITUTE(MID(J199,FIND("SK:",J199)+3,50),"-",REPT(" ",50)),50)),IFERROR(INDEX($H$6:$H$211,MATCH(1,(($I$6:$I$211=I199)*(ISNUMBER(SEARCH("SK:",$G$6:$G$211)))),0)),"")))</f>
        <v>RLNVBL9K9TT717289</v>
      </c>
      <c r="I199" s="290" t="s">
        <v>1891</v>
      </c>
      <c r="J199" s="290" t="s">
        <v>1890</v>
      </c>
      <c r="K199" s="290" t="s">
        <v>1313</v>
      </c>
      <c r="L199" s="292">
        <v>1</v>
      </c>
      <c r="M199" s="293">
        <v>280909091</v>
      </c>
      <c r="N199" s="294">
        <v>280909091</v>
      </c>
      <c r="O199" s="294">
        <v>28090909</v>
      </c>
      <c r="P199" s="294">
        <v>0</v>
      </c>
      <c r="Q199" s="294">
        <v>309000000</v>
      </c>
      <c r="R199" s="293">
        <v>274909091</v>
      </c>
      <c r="S199" s="294">
        <v>274909091</v>
      </c>
      <c r="T199" s="290" t="s">
        <v>12</v>
      </c>
      <c r="U199" s="290" t="s">
        <v>1334</v>
      </c>
      <c r="V199" s="290" t="s">
        <v>11</v>
      </c>
      <c r="W199" s="290" t="s">
        <v>9</v>
      </c>
      <c r="X199" s="290" t="s">
        <v>14</v>
      </c>
      <c r="Y199" s="204" t="s">
        <v>1312</v>
      </c>
      <c r="Z199" s="313">
        <f t="shared" ref="Z199:Z213" si="3">S199*1.1</f>
        <v>302400000.10000002</v>
      </c>
      <c r="AA199" s="314">
        <f>VLOOKUP(H199,'Dự thu chiết khấu'!$L$4:$AB$204,17,0)-Z199</f>
        <v>-0.10000002384185791</v>
      </c>
    </row>
    <row r="200" spans="1:27" ht="10.5" hidden="1" customHeight="1">
      <c r="A200" s="289">
        <v>46141</v>
      </c>
      <c r="B200" s="290" t="s">
        <v>8</v>
      </c>
      <c r="C200" s="291" t="s">
        <v>1285</v>
      </c>
      <c r="D200" s="291" t="s">
        <v>1285</v>
      </c>
      <c r="E200" s="290" t="s">
        <v>1892</v>
      </c>
      <c r="F200" s="290" t="s">
        <v>19</v>
      </c>
      <c r="G200" s="290" t="s">
        <v>1878</v>
      </c>
      <c r="H200" s="204" t="str" cm="1">
        <f t="array" ref="H200">IFERROR(TRIM(LEFT(SUBSTITUTE(MID(G200,FIND("SK:",G200)+3,50),"-",REPT(" ",50)),50)),IFERROR(TRIM(LEFT(SUBSTITUTE(MID(J200,FIND("SK:",J200)+3,50),"-",REPT(" ",50)),50)),IFERROR(INDEX($H$6:$H$211,MATCH(1,(($I$6:$I$211=I200)*(ISNUMBER(SEARCH("SK:",$G$6:$G$211)))),0)),"")))</f>
        <v>RLNVBL9KXTT715969</v>
      </c>
      <c r="I200" s="290" t="s">
        <v>1879</v>
      </c>
      <c r="J200" s="290" t="s">
        <v>1878</v>
      </c>
      <c r="K200" s="290" t="s">
        <v>1313</v>
      </c>
      <c r="L200" s="292">
        <v>1</v>
      </c>
      <c r="M200" s="293">
        <v>269181818</v>
      </c>
      <c r="N200" s="294">
        <v>269181818</v>
      </c>
      <c r="O200" s="294">
        <v>26918182</v>
      </c>
      <c r="P200" s="294">
        <v>0</v>
      </c>
      <c r="Q200" s="294">
        <v>296100000</v>
      </c>
      <c r="R200" s="293">
        <v>274909091</v>
      </c>
      <c r="S200" s="294">
        <v>274909091</v>
      </c>
      <c r="T200" s="290" t="s">
        <v>12</v>
      </c>
      <c r="U200" s="290" t="s">
        <v>1379</v>
      </c>
      <c r="V200" s="290" t="s">
        <v>11</v>
      </c>
      <c r="W200" s="290" t="s">
        <v>9</v>
      </c>
      <c r="X200" s="290" t="s">
        <v>15</v>
      </c>
      <c r="Y200" s="204" t="s">
        <v>1312</v>
      </c>
      <c r="Z200" s="313">
        <f t="shared" si="3"/>
        <v>302400000.10000002</v>
      </c>
      <c r="AA200" s="314">
        <f>VLOOKUP(H200,'Dự thu chiết khấu'!$L$4:$AB$204,17,0)-Z200</f>
        <v>-0.10000002384185791</v>
      </c>
    </row>
    <row r="201" spans="1:27" ht="10.5" hidden="1" customHeight="1">
      <c r="A201" s="289">
        <v>46141</v>
      </c>
      <c r="B201" s="290" t="s">
        <v>8</v>
      </c>
      <c r="C201" s="291" t="s">
        <v>1158</v>
      </c>
      <c r="D201" s="291" t="s">
        <v>1158</v>
      </c>
      <c r="E201" s="290" t="s">
        <v>1893</v>
      </c>
      <c r="F201" s="290" t="s">
        <v>917</v>
      </c>
      <c r="G201" s="290" t="s">
        <v>1894</v>
      </c>
      <c r="H201" s="204" t="str" cm="1">
        <f t="array" ref="H201">IFERROR(TRIM(LEFT(SUBSTITUTE(MID(G201,FIND("SK:",G201)+3,50),"-",REPT(" ",50)),50)),IFERROR(TRIM(LEFT(SUBSTITUTE(MID(J201,FIND("SK:",J201)+3,50),"-",REPT(" ",50)),50)),IFERROR(INDEX($H$6:$H$211,MATCH(1,(($I$6:$I$211=I201)*(ISNUMBER(SEARCH("SK:",$G$6:$G$211)))),0)),"")))</f>
        <v>RLLVAG8C2TH738260</v>
      </c>
      <c r="I201" s="290" t="s">
        <v>1895</v>
      </c>
      <c r="J201" s="290" t="s">
        <v>1894</v>
      </c>
      <c r="K201" s="290" t="s">
        <v>1313</v>
      </c>
      <c r="L201" s="292">
        <v>1</v>
      </c>
      <c r="M201" s="293">
        <v>605409091</v>
      </c>
      <c r="N201" s="294">
        <v>605409091</v>
      </c>
      <c r="O201" s="294">
        <v>60540909</v>
      </c>
      <c r="P201" s="294">
        <v>0</v>
      </c>
      <c r="Q201" s="294">
        <v>665950000</v>
      </c>
      <c r="R201" s="293">
        <v>650181818</v>
      </c>
      <c r="S201" s="294">
        <v>650181818</v>
      </c>
      <c r="T201" s="290" t="s">
        <v>12</v>
      </c>
      <c r="U201" s="290" t="s">
        <v>1318</v>
      </c>
      <c r="V201" s="290" t="s">
        <v>11</v>
      </c>
      <c r="W201" s="290" t="s">
        <v>9</v>
      </c>
      <c r="X201" s="290" t="s">
        <v>10</v>
      </c>
      <c r="Y201" s="204" t="s">
        <v>1312</v>
      </c>
      <c r="Z201" s="313">
        <f t="shared" si="3"/>
        <v>715199999.80000007</v>
      </c>
      <c r="AA201" s="314">
        <f>VLOOKUP(H201,'Dự thu chiết khấu'!$L$4:$AB$204,17,0)-Z201</f>
        <v>0.19999992847442627</v>
      </c>
    </row>
    <row r="202" spans="1:27" ht="10.5" hidden="1" customHeight="1">
      <c r="A202" s="289">
        <v>46142</v>
      </c>
      <c r="B202" s="290" t="s">
        <v>8</v>
      </c>
      <c r="C202" s="291" t="s">
        <v>1286</v>
      </c>
      <c r="D202" s="291" t="s">
        <v>1286</v>
      </c>
      <c r="E202" s="290" t="s">
        <v>1896</v>
      </c>
      <c r="F202" s="290" t="s">
        <v>976</v>
      </c>
      <c r="G202" s="290" t="s">
        <v>1897</v>
      </c>
      <c r="H202" s="204" t="str" cm="1">
        <f t="array" ref="H202">IFERROR(TRIM(LEFT(SUBSTITUTE(MID(G202,FIND("SK:",G202)+3,50),"-",REPT(" ",50)),50)),IFERROR(TRIM(LEFT(SUBSTITUTE(MID(J202,FIND("SK:",J202)+3,50),"-",REPT(" ",50)),50)),IFERROR(INDEX($H$6:$H$211,MATCH(1,(($I$6:$I$211=I202)*(ISNUMBER(SEARCH("SK:",$G$6:$G$211)))),0)),"")))</f>
        <v>RLLVAGND2TH736666</v>
      </c>
      <c r="I202" s="290" t="s">
        <v>1898</v>
      </c>
      <c r="J202" s="290" t="s">
        <v>1897</v>
      </c>
      <c r="K202" s="290" t="s">
        <v>1313</v>
      </c>
      <c r="L202" s="292">
        <v>1</v>
      </c>
      <c r="M202" s="293">
        <v>569990909</v>
      </c>
      <c r="N202" s="294">
        <v>569990909</v>
      </c>
      <c r="O202" s="294">
        <v>56999091</v>
      </c>
      <c r="P202" s="294">
        <v>0</v>
      </c>
      <c r="Q202" s="294">
        <v>626990000</v>
      </c>
      <c r="R202" s="293">
        <v>601309091</v>
      </c>
      <c r="S202" s="294">
        <v>601309091</v>
      </c>
      <c r="T202" s="290" t="s">
        <v>12</v>
      </c>
      <c r="U202" s="290" t="s">
        <v>1314</v>
      </c>
      <c r="V202" s="290" t="s">
        <v>11</v>
      </c>
      <c r="W202" s="290" t="s">
        <v>9</v>
      </c>
      <c r="X202" s="290" t="s">
        <v>16</v>
      </c>
      <c r="Y202" s="204" t="s">
        <v>1312</v>
      </c>
      <c r="Z202" s="313">
        <f t="shared" si="3"/>
        <v>661440000.10000002</v>
      </c>
      <c r="AA202" s="314">
        <f>VLOOKUP(H202,'Dự thu chiết khấu'!$L$4:$AB$204,17,0)-Z202</f>
        <v>-0.10000002384185791</v>
      </c>
    </row>
    <row r="203" spans="1:27" ht="10.5" hidden="1" customHeight="1">
      <c r="A203" s="289">
        <v>46142</v>
      </c>
      <c r="B203" s="290" t="s">
        <v>8</v>
      </c>
      <c r="C203" s="291" t="s">
        <v>1287</v>
      </c>
      <c r="D203" s="291" t="s">
        <v>1287</v>
      </c>
      <c r="E203" s="290" t="s">
        <v>1899</v>
      </c>
      <c r="F203" s="290" t="s">
        <v>979</v>
      </c>
      <c r="G203" s="290" t="s">
        <v>1900</v>
      </c>
      <c r="H203" s="204" t="str" cm="1">
        <f t="array" ref="H203">IFERROR(TRIM(LEFT(SUBSTITUTE(MID(G203,FIND("SK:",G203)+3,50),"-",REPT(" ",50)),50)),IFERROR(TRIM(LEFT(SUBSTITUTE(MID(J203,FIND("SK:",J203)+3,50),"-",REPT(" ",50)),50)),IFERROR(INDEX($H$6:$H$211,MATCH(1,(($I$6:$I$211=I203)*(ISNUMBER(SEARCH("SK:",$G$6:$G$211)))),0)),"")))</f>
        <v>RLLVFPNT7TH758459</v>
      </c>
      <c r="I203" s="290" t="s">
        <v>1901</v>
      </c>
      <c r="J203" s="290" t="s">
        <v>1900</v>
      </c>
      <c r="K203" s="290" t="s">
        <v>1313</v>
      </c>
      <c r="L203" s="292">
        <v>1</v>
      </c>
      <c r="M203" s="293">
        <v>649572727</v>
      </c>
      <c r="N203" s="294">
        <v>649572727</v>
      </c>
      <c r="O203" s="294">
        <v>64957273</v>
      </c>
      <c r="P203" s="294">
        <v>0</v>
      </c>
      <c r="Q203" s="294">
        <v>714530000</v>
      </c>
      <c r="R203" s="293">
        <v>653672727</v>
      </c>
      <c r="S203" s="294">
        <v>653672727</v>
      </c>
      <c r="T203" s="290" t="s">
        <v>12</v>
      </c>
      <c r="U203" s="290" t="s">
        <v>1334</v>
      </c>
      <c r="V203" s="290" t="s">
        <v>11</v>
      </c>
      <c r="W203" s="290" t="s">
        <v>9</v>
      </c>
      <c r="X203" s="290" t="s">
        <v>16</v>
      </c>
      <c r="Y203" s="204" t="s">
        <v>1312</v>
      </c>
      <c r="Z203" s="313">
        <f t="shared" si="3"/>
        <v>719039999.70000005</v>
      </c>
      <c r="AA203" s="314">
        <f>VLOOKUP(H203,'Dự thu chiết khấu'!$L$4:$AB$204,17,0)-Z203</f>
        <v>0.29999995231628418</v>
      </c>
    </row>
    <row r="204" spans="1:27" ht="10.5" hidden="1" customHeight="1">
      <c r="A204" s="289">
        <v>46142</v>
      </c>
      <c r="B204" s="290" t="s">
        <v>8</v>
      </c>
      <c r="C204" s="291" t="s">
        <v>1288</v>
      </c>
      <c r="D204" s="291" t="s">
        <v>1288</v>
      </c>
      <c r="E204" s="290" t="s">
        <v>1902</v>
      </c>
      <c r="F204" s="290" t="s">
        <v>982</v>
      </c>
      <c r="G204" s="290" t="s">
        <v>1903</v>
      </c>
      <c r="H204" s="204" t="str" cm="1">
        <f t="array" ref="H204">IFERROR(TRIM(LEFT(SUBSTITUTE(MID(G204,FIND("SK:",G204)+3,50),"-",REPT(" ",50)),50)),IFERROR(TRIM(LEFT(SUBSTITUTE(MID(J204,FIND("SK:",J204)+3,50),"-",REPT(" ",50)),50)),IFERROR(INDEX($H$6:$H$211,MATCH(1,(($I$6:$I$211=I204)*(ISNUMBER(SEARCH("SK:",$G$6:$G$211)))),0)),"")))</f>
        <v>RLLVFPNT6TH758582</v>
      </c>
      <c r="I204" s="290" t="s">
        <v>1904</v>
      </c>
      <c r="J204" s="290" t="s">
        <v>1903</v>
      </c>
      <c r="K204" s="290" t="s">
        <v>1313</v>
      </c>
      <c r="L204" s="292">
        <v>1</v>
      </c>
      <c r="M204" s="293">
        <v>629145455</v>
      </c>
      <c r="N204" s="294">
        <v>629145455</v>
      </c>
      <c r="O204" s="294">
        <v>62914545</v>
      </c>
      <c r="P204" s="294">
        <v>0</v>
      </c>
      <c r="Q204" s="294">
        <v>692060000</v>
      </c>
      <c r="R204" s="293">
        <v>653672727</v>
      </c>
      <c r="S204" s="294">
        <v>653672727</v>
      </c>
      <c r="T204" s="290" t="s">
        <v>12</v>
      </c>
      <c r="U204" s="290" t="s">
        <v>1334</v>
      </c>
      <c r="V204" s="290" t="s">
        <v>11</v>
      </c>
      <c r="W204" s="290" t="s">
        <v>9</v>
      </c>
      <c r="X204" s="290" t="s">
        <v>16</v>
      </c>
      <c r="Y204" s="204" t="s">
        <v>1312</v>
      </c>
      <c r="Z204" s="313">
        <f t="shared" si="3"/>
        <v>719039999.70000005</v>
      </c>
      <c r="AA204" s="314">
        <f>VLOOKUP(H204,'Dự thu chiết khấu'!$L$4:$AB$204,17,0)-Z204</f>
        <v>0.29999995231628418</v>
      </c>
    </row>
    <row r="205" spans="1:27" ht="10.5" hidden="1" customHeight="1">
      <c r="A205" s="289">
        <v>46142</v>
      </c>
      <c r="B205" s="290" t="s">
        <v>8</v>
      </c>
      <c r="C205" s="291" t="s">
        <v>1289</v>
      </c>
      <c r="D205" s="291" t="s">
        <v>1289</v>
      </c>
      <c r="E205" s="290" t="s">
        <v>1905</v>
      </c>
      <c r="F205" s="290" t="s">
        <v>986</v>
      </c>
      <c r="G205" s="290" t="s">
        <v>1906</v>
      </c>
      <c r="H205" s="204" t="str" cm="1">
        <f t="array" ref="H205">IFERROR(TRIM(LEFT(SUBSTITUTE(MID(G205,FIND("SK:",G205)+3,50),"-",REPT(" ",50)),50)),IFERROR(TRIM(LEFT(SUBSTITUTE(MID(J205,FIND("SK:",J205)+3,50),"-",REPT(" ",50)),50)),IFERROR(INDEX($H$6:$H$211,MATCH(1,(($I$6:$I$211=I205)*(ISNUMBER(SEARCH("SK:",$G$6:$G$211)))),0)),"")))</f>
        <v>RLLVFPNT5TH757505</v>
      </c>
      <c r="I205" s="290" t="s">
        <v>1907</v>
      </c>
      <c r="J205" s="290" t="s">
        <v>1906</v>
      </c>
      <c r="K205" s="290" t="s">
        <v>1313</v>
      </c>
      <c r="L205" s="292">
        <v>1</v>
      </c>
      <c r="M205" s="293">
        <v>629145455</v>
      </c>
      <c r="N205" s="294">
        <v>629145455</v>
      </c>
      <c r="O205" s="294">
        <v>62914545</v>
      </c>
      <c r="P205" s="294">
        <v>0</v>
      </c>
      <c r="Q205" s="294">
        <v>692060000</v>
      </c>
      <c r="R205" s="293">
        <v>653672727</v>
      </c>
      <c r="S205" s="294">
        <v>653672727</v>
      </c>
      <c r="T205" s="290" t="s">
        <v>12</v>
      </c>
      <c r="U205" s="290" t="s">
        <v>1334</v>
      </c>
      <c r="V205" s="290" t="s">
        <v>11</v>
      </c>
      <c r="W205" s="290" t="s">
        <v>9</v>
      </c>
      <c r="X205" s="290" t="s">
        <v>16</v>
      </c>
      <c r="Y205" s="204" t="s">
        <v>1312</v>
      </c>
      <c r="Z205" s="313">
        <f t="shared" si="3"/>
        <v>719039999.70000005</v>
      </c>
      <c r="AA205" s="314">
        <f>VLOOKUP(H205,'Dự thu chiết khấu'!$L$4:$AB$204,17,0)-Z205</f>
        <v>0.29999995231628418</v>
      </c>
    </row>
    <row r="206" spans="1:27" ht="10.5" hidden="1" customHeight="1">
      <c r="A206" s="289">
        <v>46142</v>
      </c>
      <c r="B206" s="290" t="s">
        <v>8</v>
      </c>
      <c r="C206" s="291" t="s">
        <v>1155</v>
      </c>
      <c r="D206" s="291" t="s">
        <v>1155</v>
      </c>
      <c r="E206" s="290" t="s">
        <v>1908</v>
      </c>
      <c r="F206" s="290" t="s">
        <v>993</v>
      </c>
      <c r="G206" s="290" t="s">
        <v>1909</v>
      </c>
      <c r="H206" s="204" t="str" cm="1">
        <f t="array" ref="H206">IFERROR(TRIM(LEFT(SUBSTITUTE(MID(G206,FIND("SK:",G206)+3,50),"-",REPT(" ",50)),50)),IFERROR(TRIM(LEFT(SUBSTITUTE(MID(J206,FIND("SK:",J206)+3,50),"-",REPT(" ",50)),50)),IFERROR(INDEX($H$6:$H$211,MATCH(1,(($I$6:$I$211=I206)*(ISNUMBER(SEARCH("SK:",$G$6:$G$211)))),0)),"")))</f>
        <v>RLLVFPTT7TH747741</v>
      </c>
      <c r="I206" s="290" t="s">
        <v>1910</v>
      </c>
      <c r="J206" s="290" t="s">
        <v>1909</v>
      </c>
      <c r="K206" s="290" t="s">
        <v>1313</v>
      </c>
      <c r="L206" s="292">
        <v>1</v>
      </c>
      <c r="M206" s="293">
        <v>686236364</v>
      </c>
      <c r="N206" s="294">
        <v>686236364</v>
      </c>
      <c r="O206" s="294">
        <v>68623636</v>
      </c>
      <c r="P206" s="294">
        <v>0</v>
      </c>
      <c r="Q206" s="294">
        <v>754860000</v>
      </c>
      <c r="R206" s="293">
        <v>714763636</v>
      </c>
      <c r="S206" s="294">
        <v>714763636</v>
      </c>
      <c r="T206" s="290" t="s">
        <v>12</v>
      </c>
      <c r="U206" s="290" t="s">
        <v>1334</v>
      </c>
      <c r="V206" s="290" t="s">
        <v>11</v>
      </c>
      <c r="W206" s="290" t="s">
        <v>9</v>
      </c>
      <c r="X206" s="290" t="s">
        <v>16</v>
      </c>
      <c r="Y206" s="204" t="s">
        <v>1312</v>
      </c>
      <c r="Z206" s="313">
        <f t="shared" si="3"/>
        <v>786239999.60000002</v>
      </c>
      <c r="AA206" s="314">
        <f>VLOOKUP(H206,'Dự thu chiết khấu'!$L$4:$AB$204,17,0)-Z206</f>
        <v>0.39999997615814209</v>
      </c>
    </row>
    <row r="207" spans="1:27" ht="10.5" hidden="1" customHeight="1">
      <c r="A207" s="289">
        <v>46142</v>
      </c>
      <c r="B207" s="290" t="s">
        <v>8</v>
      </c>
      <c r="C207" s="291" t="s">
        <v>1290</v>
      </c>
      <c r="D207" s="291" t="s">
        <v>1290</v>
      </c>
      <c r="E207" s="290" t="s">
        <v>1911</v>
      </c>
      <c r="F207" s="290" t="s">
        <v>989</v>
      </c>
      <c r="G207" s="290" t="s">
        <v>1912</v>
      </c>
      <c r="H207" s="204" t="str" cm="1">
        <f t="array" ref="H207">IFERROR(TRIM(LEFT(SUBSTITUTE(MID(G207,FIND("SK:",G207)+3,50),"-",REPT(" ",50)),50)),IFERROR(TRIM(LEFT(SUBSTITUTE(MID(J207,FIND("SK:",J207)+3,50),"-",REPT(" ",50)),50)),IFERROR(INDEX($H$6:$H$211,MATCH(1,(($I$6:$I$211=I207)*(ISNUMBER(SEARCH("SK:",$G$6:$G$211)))),0)),"")))</f>
        <v>RLLVFPNT6TH749588</v>
      </c>
      <c r="I207" s="290" t="s">
        <v>1913</v>
      </c>
      <c r="J207" s="290" t="s">
        <v>1912</v>
      </c>
      <c r="K207" s="290" t="s">
        <v>1313</v>
      </c>
      <c r="L207" s="292">
        <v>1</v>
      </c>
      <c r="M207" s="293">
        <v>670000000</v>
      </c>
      <c r="N207" s="294">
        <v>670000000</v>
      </c>
      <c r="O207" s="294">
        <v>67000000</v>
      </c>
      <c r="P207" s="294">
        <v>0</v>
      </c>
      <c r="Q207" s="294">
        <v>737000000</v>
      </c>
      <c r="R207" s="293">
        <v>653672727</v>
      </c>
      <c r="S207" s="294">
        <v>653672727</v>
      </c>
      <c r="T207" s="290" t="s">
        <v>12</v>
      </c>
      <c r="U207" s="290" t="s">
        <v>1314</v>
      </c>
      <c r="V207" s="290" t="s">
        <v>11</v>
      </c>
      <c r="W207" s="290" t="s">
        <v>9</v>
      </c>
      <c r="X207" s="290" t="s">
        <v>16</v>
      </c>
      <c r="Y207" s="204" t="s">
        <v>1312</v>
      </c>
      <c r="Z207" s="313">
        <f t="shared" si="3"/>
        <v>719039999.70000005</v>
      </c>
      <c r="AA207" s="314">
        <f>VLOOKUP(H207,'Dự thu chiết khấu'!$L$4:$AB$204,17,0)-Z207</f>
        <v>0.29999995231628418</v>
      </c>
    </row>
    <row r="208" spans="1:27" ht="10.5" hidden="1" customHeight="1">
      <c r="A208" s="289">
        <v>46142</v>
      </c>
      <c r="B208" s="290" t="s">
        <v>8</v>
      </c>
      <c r="C208" s="291" t="s">
        <v>1291</v>
      </c>
      <c r="D208" s="291" t="s">
        <v>1291</v>
      </c>
      <c r="E208" s="290" t="s">
        <v>1914</v>
      </c>
      <c r="F208" s="290" t="s">
        <v>1292</v>
      </c>
      <c r="G208" s="290" t="s">
        <v>1915</v>
      </c>
      <c r="H208" s="204" t="str" cm="1">
        <f t="array" ref="H208">IFERROR(TRIM(LEFT(SUBSTITUTE(MID(G208,FIND("SK:",G208)+3,50),"-",REPT(" ",50)),50)),IFERROR(TRIM(LEFT(SUBSTITUTE(MID(J208,FIND("SK:",J208)+3,50),"-",REPT(" ",50)),50)),IFERROR(INDEX($H$6:$H$211,MATCH(1,(($I$6:$I$211=I208)*(ISNUMBER(SEARCH("SK:",$G$6:$G$211)))),0)),"")))</f>
        <v>RLLVFPNT8TH757630</v>
      </c>
      <c r="I208" s="290" t="s">
        <v>1916</v>
      </c>
      <c r="J208" s="290" t="s">
        <v>1915</v>
      </c>
      <c r="K208" s="290" t="s">
        <v>1313</v>
      </c>
      <c r="L208" s="292">
        <v>1</v>
      </c>
      <c r="M208" s="293">
        <v>608718182</v>
      </c>
      <c r="N208" s="294">
        <v>608718182</v>
      </c>
      <c r="O208" s="294">
        <v>60871818</v>
      </c>
      <c r="P208" s="294">
        <v>0</v>
      </c>
      <c r="Q208" s="294">
        <v>669590000</v>
      </c>
      <c r="R208" s="293">
        <v>653672727</v>
      </c>
      <c r="S208" s="294">
        <v>653672727</v>
      </c>
      <c r="T208" s="290" t="s">
        <v>12</v>
      </c>
      <c r="U208" s="290" t="s">
        <v>1334</v>
      </c>
      <c r="V208" s="290" t="s">
        <v>11</v>
      </c>
      <c r="W208" s="290" t="s">
        <v>9</v>
      </c>
      <c r="X208" s="290" t="s">
        <v>15</v>
      </c>
      <c r="Y208" s="204" t="s">
        <v>1312</v>
      </c>
      <c r="Z208" s="313">
        <f t="shared" si="3"/>
        <v>719039999.70000005</v>
      </c>
      <c r="AA208" s="314">
        <f>VLOOKUP(H208,'Dự thu chiết khấu'!$L$4:$AB$204,17,0)-Z208</f>
        <v>0.29999995231628418</v>
      </c>
    </row>
    <row r="209" spans="1:27" ht="10.5" hidden="1" customHeight="1">
      <c r="A209" s="289">
        <v>46142</v>
      </c>
      <c r="B209" s="290" t="s">
        <v>8</v>
      </c>
      <c r="C209" s="291" t="s">
        <v>1293</v>
      </c>
      <c r="D209" s="291" t="s">
        <v>1293</v>
      </c>
      <c r="E209" s="290" t="s">
        <v>1917</v>
      </c>
      <c r="F209" s="290" t="s">
        <v>996</v>
      </c>
      <c r="G209" s="290" t="s">
        <v>1918</v>
      </c>
      <c r="H209" s="204" t="str" cm="1">
        <f t="array" ref="H209">IFERROR(TRIM(LEFT(SUBSTITUTE(MID(G209,FIND("SK:",G209)+3,50),"-",REPT(" ",50)),50)),IFERROR(TRIM(LEFT(SUBSTITUTE(MID(J209,FIND("SK:",J209)+3,50),"-",REPT(" ",50)),50)),IFERROR(INDEX($H$6:$H$211,MATCH(1,(($I$6:$I$211=I209)*(ISNUMBER(SEARCH("SK:",$G$6:$G$211)))),0)),"")))</f>
        <v>RLLVFPTT8TH751183</v>
      </c>
      <c r="I209" s="290" t="s">
        <v>1919</v>
      </c>
      <c r="J209" s="290" t="s">
        <v>1918</v>
      </c>
      <c r="K209" s="290" t="s">
        <v>1313</v>
      </c>
      <c r="L209" s="292">
        <v>1</v>
      </c>
      <c r="M209" s="293">
        <v>677536364</v>
      </c>
      <c r="N209" s="294">
        <v>677536364</v>
      </c>
      <c r="O209" s="294">
        <v>67753636</v>
      </c>
      <c r="P209" s="294">
        <v>0</v>
      </c>
      <c r="Q209" s="294">
        <v>745290000</v>
      </c>
      <c r="R209" s="293">
        <v>714763636</v>
      </c>
      <c r="S209" s="294">
        <v>714763636</v>
      </c>
      <c r="T209" s="290" t="s">
        <v>12</v>
      </c>
      <c r="U209" s="290" t="s">
        <v>1334</v>
      </c>
      <c r="V209" s="290" t="s">
        <v>11</v>
      </c>
      <c r="W209" s="290" t="s">
        <v>9</v>
      </c>
      <c r="X209" s="290" t="s">
        <v>16</v>
      </c>
      <c r="Y209" s="204" t="s">
        <v>1312</v>
      </c>
      <c r="Z209" s="313">
        <f t="shared" si="3"/>
        <v>786239999.60000002</v>
      </c>
      <c r="AA209" s="314">
        <f>VLOOKUP(H209,'Dự thu chiết khấu'!$L$4:$AB$204,17,0)-Z209</f>
        <v>0.39999997615814209</v>
      </c>
    </row>
    <row r="210" spans="1:27" ht="10.5" hidden="1" customHeight="1">
      <c r="A210" s="289">
        <v>46142</v>
      </c>
      <c r="B210" s="290" t="s">
        <v>8</v>
      </c>
      <c r="C210" s="291" t="s">
        <v>1294</v>
      </c>
      <c r="D210" s="291" t="s">
        <v>1294</v>
      </c>
      <c r="E210" s="290" t="s">
        <v>1920</v>
      </c>
      <c r="F210" s="290" t="s">
        <v>999</v>
      </c>
      <c r="G210" s="290" t="s">
        <v>1921</v>
      </c>
      <c r="H210" s="204" t="str" cm="1">
        <f t="array" ref="H210">IFERROR(TRIM(LEFT(SUBSTITUTE(MID(G210,FIND("SK:",G210)+3,50),"-",REPT(" ",50)),50)),IFERROR(TRIM(LEFT(SUBSTITUTE(MID(J210,FIND("SK:",J210)+3,50),"-",REPT(" ",50)),50)),IFERROR(INDEX($H$6:$H$211,MATCH(1,(($I$6:$I$211=I210)*(ISNUMBER(SEARCH("SK:",$G$6:$G$211)))),0)),"")))</f>
        <v>RLLVFPNT2TH758644</v>
      </c>
      <c r="I210" s="290" t="s">
        <v>1922</v>
      </c>
      <c r="J210" s="290" t="s">
        <v>1921</v>
      </c>
      <c r="K210" s="290" t="s">
        <v>1313</v>
      </c>
      <c r="L210" s="292">
        <v>1</v>
      </c>
      <c r="M210" s="293">
        <v>629145455</v>
      </c>
      <c r="N210" s="294">
        <v>629145455</v>
      </c>
      <c r="O210" s="294">
        <v>62914545</v>
      </c>
      <c r="P210" s="294">
        <v>0</v>
      </c>
      <c r="Q210" s="294">
        <v>692060000</v>
      </c>
      <c r="R210" s="293">
        <v>653672727</v>
      </c>
      <c r="S210" s="294">
        <v>653672727</v>
      </c>
      <c r="T210" s="290" t="s">
        <v>12</v>
      </c>
      <c r="U210" s="290" t="s">
        <v>1334</v>
      </c>
      <c r="V210" s="290" t="s">
        <v>11</v>
      </c>
      <c r="W210" s="290" t="s">
        <v>9</v>
      </c>
      <c r="X210" s="290" t="s">
        <v>16</v>
      </c>
      <c r="Y210" s="204" t="s">
        <v>1312</v>
      </c>
      <c r="Z210" s="313">
        <f t="shared" si="3"/>
        <v>719039999.70000005</v>
      </c>
      <c r="AA210" s="314">
        <f>VLOOKUP(H210,'Dự thu chiết khấu'!$L$4:$AB$204,17,0)-Z210</f>
        <v>0.29999995231628418</v>
      </c>
    </row>
    <row r="211" spans="1:27" ht="43" hidden="1" customHeight="1">
      <c r="A211" s="289">
        <v>46142</v>
      </c>
      <c r="B211" s="290" t="s">
        <v>8</v>
      </c>
      <c r="C211" s="291" t="s">
        <v>1295</v>
      </c>
      <c r="D211" s="291" t="s">
        <v>1295</v>
      </c>
      <c r="E211" s="290" t="s">
        <v>1923</v>
      </c>
      <c r="F211" s="290" t="s">
        <v>1296</v>
      </c>
      <c r="G211" s="290" t="s">
        <v>1924</v>
      </c>
      <c r="H211" s="204" t="str" cm="1">
        <f t="array" ref="H211">IFERROR(TRIM(LEFT(SUBSTITUTE(MID(G211,FIND("SK:",G211)+3,50),"-",REPT(" ",50)),50)),IFERROR(TRIM(LEFT(SUBSTITUTE(MID(J211,FIND("SK:",J211)+3,50),"-",REPT(" ",50)),50)),IFERROR(INDEX($H$6:$H$211,MATCH(1,(($I$6:$I$211=I211)*(ISNUMBER(SEARCH("SK:",$G$6:$G$211)))),0)),"")))</f>
        <v>RLLVFPTT6TH723205</v>
      </c>
      <c r="I211" s="290" t="s">
        <v>1925</v>
      </c>
      <c r="J211" s="290" t="s">
        <v>1924</v>
      </c>
      <c r="K211" s="290" t="s">
        <v>1313</v>
      </c>
      <c r="L211" s="292">
        <v>1</v>
      </c>
      <c r="M211" s="293">
        <v>670897364</v>
      </c>
      <c r="N211" s="294">
        <v>670897364</v>
      </c>
      <c r="O211" s="294">
        <v>67089736</v>
      </c>
      <c r="P211" s="294">
        <v>0</v>
      </c>
      <c r="Q211" s="294">
        <v>737987100</v>
      </c>
      <c r="R211" s="293">
        <v>714763636</v>
      </c>
      <c r="S211" s="294">
        <v>714763636</v>
      </c>
      <c r="T211" s="290" t="s">
        <v>12</v>
      </c>
      <c r="U211" s="290" t="s">
        <v>1334</v>
      </c>
      <c r="V211" s="290" t="s">
        <v>11</v>
      </c>
      <c r="W211" s="290" t="s">
        <v>9</v>
      </c>
      <c r="X211" s="290" t="s">
        <v>15</v>
      </c>
      <c r="Y211" s="204" t="s">
        <v>1312</v>
      </c>
      <c r="Z211" s="313">
        <f t="shared" si="3"/>
        <v>786239999.60000002</v>
      </c>
      <c r="AA211" s="314">
        <f>VLOOKUP(H211,'Dự thu chiết khấu'!$L$4:$AB$204,17,0)-Z211</f>
        <v>0.39999997615814209</v>
      </c>
    </row>
    <row r="212" spans="1:27" ht="40" hidden="1">
      <c r="A212" s="289">
        <v>46142</v>
      </c>
      <c r="B212" s="290" t="s">
        <v>8</v>
      </c>
      <c r="C212" s="291" t="s">
        <v>1153</v>
      </c>
      <c r="D212" s="291" t="s">
        <v>1153</v>
      </c>
      <c r="E212" s="290" t="s">
        <v>1926</v>
      </c>
      <c r="F212" s="290" t="s">
        <v>1154</v>
      </c>
      <c r="G212" s="290" t="s">
        <v>1927</v>
      </c>
      <c r="H212" s="204" t="str" cm="1">
        <f t="array" ref="H212">IFERROR(TRIM(LEFT(SUBSTITUTE(MID(G212,FIND("SK:",G212)+3,50),"-",REPT(" ",50)),50)),IFERROR(TRIM(LEFT(SUBSTITUTE(MID(J212,FIND("SK:",J212)+3,50),"-",REPT(" ",50)),50)),IFERROR(INDEX($H$6:$H$211,MATCH(1,(($I$6:$I$211=I212)*(ISNUMBER(SEARCH("SK:",$G$6:$G$211)))),0)),"")))</f>
        <v>RLLVFPTT7TH735511</v>
      </c>
      <c r="I212" s="290" t="s">
        <v>1928</v>
      </c>
      <c r="J212" s="290" t="s">
        <v>1927</v>
      </c>
      <c r="K212" s="290" t="s">
        <v>1313</v>
      </c>
      <c r="L212" s="292">
        <v>1</v>
      </c>
      <c r="M212" s="293">
        <v>677536364</v>
      </c>
      <c r="N212" s="294">
        <v>677536364</v>
      </c>
      <c r="O212" s="294">
        <v>67753636</v>
      </c>
      <c r="P212" s="294">
        <v>0</v>
      </c>
      <c r="Q212" s="294">
        <v>745290000</v>
      </c>
      <c r="R212" s="293">
        <v>714763636</v>
      </c>
      <c r="S212" s="294">
        <v>714763636</v>
      </c>
      <c r="T212" s="290" t="s">
        <v>12</v>
      </c>
      <c r="U212" s="290" t="s">
        <v>1314</v>
      </c>
      <c r="V212" s="290" t="s">
        <v>11</v>
      </c>
      <c r="W212" s="290" t="s">
        <v>9</v>
      </c>
      <c r="X212" s="290" t="s">
        <v>15</v>
      </c>
      <c r="Z212" s="313">
        <f t="shared" si="3"/>
        <v>786239999.60000002</v>
      </c>
      <c r="AA212" s="314">
        <f>VLOOKUP(H212,'Dự thu chiết khấu'!$L$4:$AB$204,17,0)-Z212</f>
        <v>0.39999997615814209</v>
      </c>
    </row>
    <row r="213" spans="1:27" ht="40" hidden="1">
      <c r="A213" s="289">
        <v>46142</v>
      </c>
      <c r="B213" s="290" t="s">
        <v>8</v>
      </c>
      <c r="C213" s="291" t="s">
        <v>1297</v>
      </c>
      <c r="D213" s="291" t="s">
        <v>1297</v>
      </c>
      <c r="E213" s="290" t="s">
        <v>1929</v>
      </c>
      <c r="F213" s="290" t="s">
        <v>927</v>
      </c>
      <c r="G213" s="290" t="s">
        <v>1930</v>
      </c>
      <c r="H213" s="204" t="str" cm="1">
        <f t="array" ref="H213">IFERROR(TRIM(LEFT(SUBSTITUTE(MID(G213,FIND("SK:",G213)+3,50),"-",REPT(" ",50)),50)),IFERROR(TRIM(LEFT(SUBSTITUTE(MID(J213,FIND("SK:",J213)+3,50),"-",REPT(" ",50)),50)),IFERROR(INDEX($H$6:$H$211,MATCH(1,(($I$6:$I$211=I213)*(ISNUMBER(SEARCH("SK:",$G$6:$G$211)))),0)),"")))</f>
        <v>RLNVBL9K4TT715739</v>
      </c>
      <c r="I213" s="290" t="s">
        <v>1931</v>
      </c>
      <c r="J213" s="290" t="s">
        <v>1930</v>
      </c>
      <c r="K213" s="290" t="s">
        <v>1313</v>
      </c>
      <c r="L213" s="292">
        <v>1</v>
      </c>
      <c r="M213" s="293">
        <v>252618182</v>
      </c>
      <c r="N213" s="294">
        <v>252618182</v>
      </c>
      <c r="O213" s="294">
        <v>25261818</v>
      </c>
      <c r="P213" s="294">
        <v>0</v>
      </c>
      <c r="Q213" s="294">
        <v>277880000</v>
      </c>
      <c r="R213" s="293">
        <v>263563636</v>
      </c>
      <c r="S213" s="294">
        <v>263563636</v>
      </c>
      <c r="T213" s="290" t="s">
        <v>12</v>
      </c>
      <c r="U213" s="290" t="s">
        <v>1334</v>
      </c>
      <c r="V213" s="290" t="s">
        <v>11</v>
      </c>
      <c r="W213" s="290" t="s">
        <v>9</v>
      </c>
      <c r="X213" s="290" t="s">
        <v>10</v>
      </c>
      <c r="Z213" s="313">
        <f t="shared" si="3"/>
        <v>289919999.60000002</v>
      </c>
      <c r="AA213" s="314">
        <f>VLOOKUP(H213,'Dự thu chiết khấu'!$L$4:$AB$204,17,0)-Z213</f>
        <v>0.39999997615814209</v>
      </c>
    </row>
    <row r="218" spans="1:27" ht="10.5" customHeight="1">
      <c r="A218" s="289">
        <v>46141</v>
      </c>
      <c r="B218" s="290" t="s">
        <v>8</v>
      </c>
      <c r="C218" s="291" t="s">
        <v>1875</v>
      </c>
      <c r="D218" s="291" t="s">
        <v>1875</v>
      </c>
      <c r="E218" s="290" t="s">
        <v>1876</v>
      </c>
      <c r="F218" s="290" t="s">
        <v>1877</v>
      </c>
      <c r="G218" s="290" t="s">
        <v>1878</v>
      </c>
      <c r="H218" s="204" t="str" cm="1">
        <f t="array" ref="H218">IFERROR(TRIM(LEFT(SUBSTITUTE(MID(G218,FIND("SK:",G218)+3,50),"-",REPT(" ",50)),50)),IFERROR(TRIM(LEFT(SUBSTITUTE(MID(J218,FIND("SK:",J218)+3,50),"-",REPT(" ",50)),50)),IFERROR(INDEX($H$6:$H$211,MATCH(1,(($I$6:$I$211=I218)*(ISNUMBER(SEARCH("SK:",$G$6:$G$211)))),0)),"")))</f>
        <v>RLNVBL9KXTT715969</v>
      </c>
      <c r="I218" s="290" t="s">
        <v>1879</v>
      </c>
      <c r="J218" s="290" t="s">
        <v>1878</v>
      </c>
      <c r="K218" s="290" t="s">
        <v>1313</v>
      </c>
      <c r="L218" s="292">
        <v>1</v>
      </c>
      <c r="M218" s="293">
        <v>269181818</v>
      </c>
      <c r="N218" s="294">
        <v>269181818</v>
      </c>
      <c r="O218" s="294">
        <v>26918182</v>
      </c>
      <c r="P218" s="294">
        <v>0</v>
      </c>
      <c r="Q218" s="294">
        <v>296100000</v>
      </c>
      <c r="R218" s="293">
        <v>274909091</v>
      </c>
      <c r="S218" s="294">
        <v>274909091</v>
      </c>
      <c r="T218" s="290" t="s">
        <v>12</v>
      </c>
      <c r="U218" s="290" t="s">
        <v>1379</v>
      </c>
      <c r="V218" s="290" t="s">
        <v>11</v>
      </c>
      <c r="W218" s="290" t="s">
        <v>9</v>
      </c>
      <c r="X218" s="290" t="s">
        <v>15</v>
      </c>
      <c r="Y218" s="204" t="s">
        <v>1312</v>
      </c>
    </row>
  </sheetData>
  <autoFilter ref="A5:AA213" xr:uid="{C36A456C-EC62-4F80-909E-398A15A28245}">
    <filterColumn colId="26">
      <filters>
        <filter val="(1,919,999)"/>
        <filter val="33,600,001"/>
        <filter val="5,095,000"/>
        <filter val="7,680,000"/>
        <filter val="719,040,000"/>
      </filters>
    </filterColumn>
  </autoFilter>
  <mergeCells count="2">
    <mergeCell ref="A2:Z2"/>
    <mergeCell ref="A3:Z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AE36D-1193-4E0B-903F-3445A06082D9}">
  <dimension ref="A1:BR824"/>
  <sheetViews>
    <sheetView topLeftCell="R1" zoomScaleNormal="100" workbookViewId="0">
      <selection activeCell="AB132" sqref="AB132"/>
    </sheetView>
  </sheetViews>
  <sheetFormatPr defaultRowHeight="14.5"/>
  <cols>
    <col min="2" max="2" width="7.453125" bestFit="1" customWidth="1"/>
    <col min="3" max="3" width="13.81640625" bestFit="1" customWidth="1"/>
    <col min="4" max="4" width="11.81640625" bestFit="1" customWidth="1"/>
    <col min="5" max="5" width="24.7265625" bestFit="1" customWidth="1"/>
    <col min="6" max="6" width="40.1796875" customWidth="1"/>
    <col min="7" max="7" width="19.7265625" bestFit="1" customWidth="1"/>
    <col min="8" max="8" width="10.54296875" bestFit="1" customWidth="1"/>
    <col min="9" max="9" width="20.7265625" hidden="1" customWidth="1"/>
    <col min="10" max="10" width="10.453125" hidden="1" customWidth="1"/>
    <col min="11" max="11" width="18.453125" hidden="1" customWidth="1"/>
    <col min="12" max="12" width="17.81640625" bestFit="1" customWidth="1"/>
    <col min="13" max="13" width="13.26953125" bestFit="1" customWidth="1"/>
    <col min="14" max="14" width="15.7265625" customWidth="1"/>
    <col min="15" max="15" width="15.26953125" customWidth="1"/>
    <col min="16" max="16" width="16.453125" style="66" customWidth="1"/>
    <col min="17" max="17" width="14.54296875" style="66" customWidth="1"/>
    <col min="18" max="18" width="10.81640625" style="205" customWidth="1"/>
    <col min="19" max="19" width="7.1796875" style="66" customWidth="1"/>
    <col min="20" max="20" width="14.54296875" style="66" customWidth="1"/>
    <col min="21" max="21" width="7.81640625" style="66" customWidth="1"/>
    <col min="22" max="22" width="13.26953125" style="66" customWidth="1"/>
    <col min="23" max="23" width="14.54296875" style="66" customWidth="1"/>
    <col min="24" max="25" width="16.453125" style="66" bestFit="1" customWidth="1"/>
    <col min="26" max="26" width="11.7265625" style="66" customWidth="1"/>
    <col min="27" max="27" width="16.453125" style="66" bestFit="1" customWidth="1"/>
    <col min="28" max="28" width="20.1796875" style="66" customWidth="1"/>
    <col min="29" max="29" width="16.453125" customWidth="1"/>
    <col min="30" max="30" width="17.26953125" customWidth="1"/>
    <col min="31" max="31" width="5.453125" customWidth="1"/>
    <col min="32" max="32" width="5.81640625" bestFit="1" customWidth="1"/>
    <col min="33" max="33" width="23.81640625" customWidth="1"/>
    <col min="34" max="34" width="6.54296875" customWidth="1"/>
    <col min="35" max="35" width="7.1796875" customWidth="1"/>
    <col min="36" max="36" width="7" customWidth="1"/>
    <col min="37" max="37" width="14.54296875" style="66" customWidth="1"/>
    <col min="38" max="39" width="12.453125" style="66" customWidth="1"/>
    <col min="40" max="40" width="24.453125" style="66" customWidth="1"/>
    <col min="41" max="41" width="13.26953125" style="66" customWidth="1"/>
    <col min="42" max="42" width="16.7265625" style="66" customWidth="1"/>
    <col min="43" max="43" width="15.453125" style="66" customWidth="1"/>
    <col min="44" max="44" width="10.54296875" hidden="1" customWidth="1"/>
    <col min="45" max="45" width="5.54296875" hidden="1" customWidth="1"/>
    <col min="46" max="46" width="8.81640625" hidden="1" customWidth="1"/>
    <col min="47" max="47" width="6.54296875" hidden="1" customWidth="1"/>
    <col min="48" max="48" width="33.54296875" customWidth="1"/>
    <col min="49" max="49" width="33.26953125" customWidth="1"/>
    <col min="50" max="50" width="10" hidden="1" customWidth="1"/>
    <col min="51" max="51" width="10.1796875" hidden="1" customWidth="1"/>
    <col min="52" max="52" width="9.81640625" hidden="1" customWidth="1"/>
    <col min="53" max="53" width="9.1796875" hidden="1" customWidth="1"/>
    <col min="54" max="54" width="9.81640625" customWidth="1"/>
    <col min="55" max="55" width="30.54296875" customWidth="1"/>
    <col min="56" max="56" width="11.1796875" customWidth="1"/>
    <col min="57" max="57" width="13.26953125" style="66" customWidth="1"/>
  </cols>
  <sheetData>
    <row r="1" spans="1:62">
      <c r="P1" s="66">
        <f>SUBTOTAL(9,P4:P1048576)</f>
        <v>119068000000</v>
      </c>
      <c r="Q1" s="66">
        <f>SUBTOTAL(9,Q4:Q1048576)</f>
        <v>6859480000</v>
      </c>
      <c r="T1" s="66">
        <f>SUBTOTAL(9,T4:T1048576)</f>
        <v>1388130000</v>
      </c>
      <c r="V1" s="66">
        <f>SUBTOTAL(9,V4:V1048576)</f>
        <v>481500000</v>
      </c>
      <c r="W1" s="66">
        <f>SUBTOTAL(9,W4:W1048576)</f>
        <v>986410000</v>
      </c>
      <c r="X1" s="66">
        <f>SUBTOTAL(9,X4:X1048576)</f>
        <v>108809108050</v>
      </c>
      <c r="Y1" s="66">
        <f>SUBTOTAL(9,Y4:Y1048576)</f>
        <v>108809108000</v>
      </c>
      <c r="AA1" s="66">
        <f>SUBTOTAL(9,AA4:AA1048576)</f>
        <v>109795518050</v>
      </c>
      <c r="AK1" s="66">
        <f t="shared" ref="AK1:AS1" si="0">SUBTOTAL(9,AK4:AK1048576)</f>
        <v>8633642370.4500008</v>
      </c>
      <c r="AL1" s="66">
        <f t="shared" si="0"/>
        <v>32431320</v>
      </c>
      <c r="AM1" s="66">
        <f t="shared" si="0"/>
        <v>75000000</v>
      </c>
      <c r="AN1" s="66">
        <f t="shared" si="0"/>
        <v>183900000</v>
      </c>
      <c r="AO1" s="66">
        <f t="shared" si="0"/>
        <v>499000000</v>
      </c>
      <c r="AP1" s="66">
        <f t="shared" si="0"/>
        <v>244500000</v>
      </c>
      <c r="AQ1" s="66">
        <f t="shared" si="0"/>
        <v>9127387690.4500008</v>
      </c>
      <c r="AR1">
        <f t="shared" si="0"/>
        <v>0</v>
      </c>
      <c r="AS1">
        <f t="shared" si="0"/>
        <v>0</v>
      </c>
      <c r="BE1" s="66">
        <f>SUBTOTAL(9,BE4:BE1048576)</f>
        <v>715454587.5</v>
      </c>
    </row>
    <row r="2" spans="1:62" ht="39" customHeight="1">
      <c r="A2" s="67" t="s">
        <v>35</v>
      </c>
      <c r="B2" s="67" t="s">
        <v>60</v>
      </c>
      <c r="C2" s="68" t="s">
        <v>60</v>
      </c>
      <c r="D2" s="67" t="s">
        <v>61</v>
      </c>
      <c r="E2" s="69" t="s">
        <v>62</v>
      </c>
      <c r="F2" s="69" t="s">
        <v>63</v>
      </c>
      <c r="G2" s="69" t="s">
        <v>64</v>
      </c>
      <c r="H2" s="69" t="s">
        <v>37</v>
      </c>
      <c r="I2" s="69" t="s">
        <v>65</v>
      </c>
      <c r="J2" s="69" t="s">
        <v>66</v>
      </c>
      <c r="K2" s="69" t="s">
        <v>67</v>
      </c>
      <c r="L2" s="69" t="s">
        <v>38</v>
      </c>
      <c r="M2" s="69" t="s">
        <v>68</v>
      </c>
      <c r="N2" s="69" t="s">
        <v>69</v>
      </c>
      <c r="O2" s="69" t="s">
        <v>70</v>
      </c>
      <c r="P2" s="70" t="s">
        <v>59</v>
      </c>
      <c r="Q2" s="70" t="s">
        <v>71</v>
      </c>
      <c r="R2" s="206" t="s">
        <v>72</v>
      </c>
      <c r="S2" s="70" t="s">
        <v>73</v>
      </c>
      <c r="T2" s="70" t="s">
        <v>74</v>
      </c>
      <c r="U2" s="71" t="s">
        <v>75</v>
      </c>
      <c r="V2" s="72" t="s">
        <v>76</v>
      </c>
      <c r="W2" s="73" t="s">
        <v>77</v>
      </c>
      <c r="X2" s="74" t="s">
        <v>78</v>
      </c>
      <c r="Y2" s="74" t="s">
        <v>79</v>
      </c>
      <c r="Z2" s="75" t="s">
        <v>80</v>
      </c>
      <c r="AA2" s="74" t="s">
        <v>81</v>
      </c>
      <c r="AB2" s="70" t="s">
        <v>82</v>
      </c>
      <c r="AC2" s="69" t="s">
        <v>83</v>
      </c>
      <c r="AD2" s="76" t="s">
        <v>84</v>
      </c>
      <c r="AE2" s="76" t="s">
        <v>85</v>
      </c>
      <c r="AF2" s="77" t="s">
        <v>86</v>
      </c>
      <c r="AG2" s="76" t="s">
        <v>87</v>
      </c>
      <c r="AH2" s="76" t="s">
        <v>88</v>
      </c>
      <c r="AI2" s="76" t="s">
        <v>89</v>
      </c>
      <c r="AJ2" s="77" t="s">
        <v>90</v>
      </c>
      <c r="AK2" s="78" t="s">
        <v>91</v>
      </c>
      <c r="AL2" s="79" t="s">
        <v>73</v>
      </c>
      <c r="AM2" s="70" t="s">
        <v>92</v>
      </c>
      <c r="AN2" s="70" t="s">
        <v>93</v>
      </c>
      <c r="AO2" s="70" t="s">
        <v>303</v>
      </c>
      <c r="AP2" s="70" t="s">
        <v>304</v>
      </c>
      <c r="AQ2" s="70" t="s">
        <v>94</v>
      </c>
      <c r="AR2" s="69" t="s">
        <v>305</v>
      </c>
      <c r="AS2" s="69" t="s">
        <v>306</v>
      </c>
      <c r="AT2" s="80" t="s">
        <v>307</v>
      </c>
      <c r="AU2" s="81"/>
      <c r="AV2" s="82" t="s">
        <v>308</v>
      </c>
      <c r="AW2" s="80" t="s">
        <v>309</v>
      </c>
      <c r="AX2" s="80" t="s">
        <v>310</v>
      </c>
      <c r="AY2" s="83" t="s">
        <v>45</v>
      </c>
      <c r="AZ2" s="80" t="s">
        <v>311</v>
      </c>
      <c r="BA2" s="80" t="s">
        <v>312</v>
      </c>
      <c r="BB2" s="84" t="s">
        <v>313</v>
      </c>
      <c r="BC2" s="84" t="s">
        <v>314</v>
      </c>
      <c r="BD2" s="85" t="s">
        <v>315</v>
      </c>
      <c r="BE2" s="70" t="s">
        <v>289</v>
      </c>
    </row>
    <row r="3" spans="1:62" ht="16.5">
      <c r="A3" s="86"/>
      <c r="B3" s="86" t="s">
        <v>95</v>
      </c>
      <c r="C3" s="87" t="s">
        <v>96</v>
      </c>
      <c r="D3" s="86"/>
      <c r="E3" s="88"/>
      <c r="F3" s="88"/>
      <c r="G3" s="88"/>
      <c r="H3" s="88"/>
      <c r="I3" s="88"/>
      <c r="J3" s="88"/>
      <c r="K3" s="88"/>
      <c r="L3" s="88"/>
      <c r="M3" s="88"/>
      <c r="N3" s="89"/>
      <c r="O3" s="89"/>
      <c r="P3" s="90"/>
      <c r="Q3" s="91"/>
      <c r="R3" s="207"/>
      <c r="S3" s="91"/>
      <c r="T3" s="91"/>
      <c r="U3" s="91">
        <v>0.03</v>
      </c>
      <c r="V3" s="91"/>
      <c r="W3" s="91"/>
      <c r="X3" s="92"/>
      <c r="Y3" s="93"/>
      <c r="Z3" s="94"/>
      <c r="AA3" s="93"/>
      <c r="AB3" s="95"/>
      <c r="AC3" s="96"/>
      <c r="AD3" s="97" t="s">
        <v>97</v>
      </c>
      <c r="AE3" s="97"/>
      <c r="AF3" s="98"/>
      <c r="AG3" s="97"/>
      <c r="AH3" s="97"/>
      <c r="AI3" s="97"/>
      <c r="AJ3" s="97"/>
      <c r="AK3" s="99" t="s">
        <v>98</v>
      </c>
      <c r="AL3" s="100"/>
      <c r="AM3" s="101"/>
      <c r="AN3" s="101" t="s">
        <v>99</v>
      </c>
      <c r="AO3" s="102"/>
      <c r="AP3" s="102"/>
      <c r="AQ3" s="102"/>
      <c r="AR3" s="96"/>
      <c r="AS3" s="96"/>
      <c r="AT3" s="103"/>
      <c r="AU3" s="104">
        <v>0</v>
      </c>
      <c r="AV3" s="105"/>
      <c r="AW3" s="103"/>
      <c r="AX3" s="103"/>
      <c r="AY3" s="103"/>
      <c r="AZ3" s="103"/>
      <c r="BA3" s="103"/>
      <c r="BB3" s="106"/>
      <c r="BC3" s="106"/>
      <c r="BD3" s="107"/>
      <c r="BE3" s="108"/>
    </row>
    <row r="4" spans="1:62">
      <c r="A4" s="63">
        <v>1</v>
      </c>
      <c r="B4" s="109">
        <v>46113</v>
      </c>
      <c r="C4" s="110">
        <v>1</v>
      </c>
      <c r="D4" s="63" t="s">
        <v>104</v>
      </c>
      <c r="E4" s="63" t="s">
        <v>131</v>
      </c>
      <c r="F4" s="63" t="s">
        <v>316</v>
      </c>
      <c r="G4" s="63" t="s">
        <v>317</v>
      </c>
      <c r="H4" s="63" t="s">
        <v>173</v>
      </c>
      <c r="I4" s="63" t="s">
        <v>105</v>
      </c>
      <c r="J4" s="63"/>
      <c r="K4" s="111" t="s">
        <v>161</v>
      </c>
      <c r="L4" s="112" t="s">
        <v>318</v>
      </c>
      <c r="M4" s="63" t="s">
        <v>103</v>
      </c>
      <c r="N4" s="63"/>
      <c r="O4" s="112">
        <v>0</v>
      </c>
      <c r="P4" s="113">
        <v>745000000</v>
      </c>
      <c r="Q4" s="113">
        <v>44700000</v>
      </c>
      <c r="R4" s="208"/>
      <c r="S4" s="113"/>
      <c r="T4" s="114"/>
      <c r="U4" s="115"/>
      <c r="V4" s="116"/>
      <c r="W4" s="116">
        <v>5000000</v>
      </c>
      <c r="X4" s="113">
        <v>695300000</v>
      </c>
      <c r="Y4" s="113">
        <v>695300000</v>
      </c>
      <c r="Z4" s="113">
        <f>X4-Y4</f>
        <v>0</v>
      </c>
      <c r="AA4" s="113">
        <v>700300000</v>
      </c>
      <c r="AB4" s="113">
        <v>717120000</v>
      </c>
      <c r="AC4" s="117">
        <v>46112</v>
      </c>
      <c r="AD4" s="118">
        <v>0.04</v>
      </c>
      <c r="AE4" s="118"/>
      <c r="AF4" s="119">
        <v>0</v>
      </c>
      <c r="AG4" s="63"/>
      <c r="AH4" s="118">
        <v>0.04</v>
      </c>
      <c r="AI4" s="63"/>
      <c r="AJ4" s="63"/>
      <c r="AK4" s="115">
        <f t="shared" ref="AK4" si="1">IFERROR(AB4-(AA4*(100%-AH4))-(P4*AI4)-(P4*AJ4),0)</f>
        <v>44832000</v>
      </c>
      <c r="AL4" s="113"/>
      <c r="AM4" s="114">
        <v>0</v>
      </c>
      <c r="AN4" s="113">
        <v>0</v>
      </c>
      <c r="AO4" s="113">
        <v>10000000</v>
      </c>
      <c r="AP4" s="113">
        <f t="shared" ref="AP4:AP203" si="2">AO4*50%</f>
        <v>5000000</v>
      </c>
      <c r="AQ4" s="113">
        <f t="shared" ref="AQ4:AQ48" si="3">SUM(AK4:AN4,AP4)</f>
        <v>49832000</v>
      </c>
      <c r="AR4" s="63"/>
      <c r="AS4" s="63"/>
      <c r="AT4" s="63"/>
      <c r="AU4" s="63"/>
      <c r="AV4" s="120" t="s">
        <v>319</v>
      </c>
      <c r="AW4" s="121"/>
      <c r="AX4" s="63"/>
      <c r="AY4" s="63"/>
      <c r="AZ4" s="63"/>
      <c r="BA4" s="63"/>
      <c r="BB4" s="122">
        <v>10846680</v>
      </c>
      <c r="BC4" s="111"/>
      <c r="BD4" s="123">
        <v>0.01</v>
      </c>
      <c r="BE4" s="113">
        <f>BD4*AA4</f>
        <v>7003000</v>
      </c>
    </row>
    <row r="5" spans="1:62">
      <c r="A5" s="63">
        <v>2</v>
      </c>
      <c r="B5" s="109">
        <v>46113</v>
      </c>
      <c r="C5" s="110">
        <v>1</v>
      </c>
      <c r="D5" s="63" t="s">
        <v>104</v>
      </c>
      <c r="E5" s="63" t="s">
        <v>325</v>
      </c>
      <c r="F5" s="63" t="s">
        <v>326</v>
      </c>
      <c r="G5" s="63" t="s">
        <v>327</v>
      </c>
      <c r="H5" s="64" t="s">
        <v>322</v>
      </c>
      <c r="I5" s="63" t="s">
        <v>134</v>
      </c>
      <c r="J5" s="63"/>
      <c r="K5" s="111" t="s">
        <v>328</v>
      </c>
      <c r="L5" s="112" t="s">
        <v>329</v>
      </c>
      <c r="M5" s="63" t="s">
        <v>120</v>
      </c>
      <c r="N5" s="63"/>
      <c r="O5" s="112">
        <v>0</v>
      </c>
      <c r="P5" s="113">
        <v>1499000000</v>
      </c>
      <c r="Q5" s="113">
        <v>149900000</v>
      </c>
      <c r="R5" s="208"/>
      <c r="S5" s="113"/>
      <c r="T5" s="114">
        <v>44970000</v>
      </c>
      <c r="U5" s="115"/>
      <c r="V5" s="116">
        <v>50000000</v>
      </c>
      <c r="W5" s="116">
        <v>25000000</v>
      </c>
      <c r="X5" s="113">
        <v>1229130000</v>
      </c>
      <c r="Y5" s="113">
        <v>1229130000</v>
      </c>
      <c r="Z5" s="113">
        <f t="shared" ref="Z5:Z49" si="4">X5-Y5</f>
        <v>0</v>
      </c>
      <c r="AA5" s="113">
        <v>1254130000</v>
      </c>
      <c r="AB5" s="113">
        <v>1409060000</v>
      </c>
      <c r="AC5" s="117"/>
      <c r="AD5" s="118">
        <v>0.06</v>
      </c>
      <c r="AE5" s="118"/>
      <c r="AF5" s="119">
        <v>0</v>
      </c>
      <c r="AG5" s="63"/>
      <c r="AH5" s="118">
        <v>0.06</v>
      </c>
      <c r="AI5" s="63"/>
      <c r="AJ5" s="63"/>
      <c r="AK5" s="115">
        <f t="shared" ref="AK5:AK203" si="5">IFERROR(AB5-(AA5*(100%-AH5))-(P5*AI5)-(P5*AJ5),0)</f>
        <v>230177800</v>
      </c>
      <c r="AL5" s="113"/>
      <c r="AM5" s="114">
        <v>0</v>
      </c>
      <c r="AN5" s="113">
        <v>0</v>
      </c>
      <c r="AO5" s="113">
        <v>0</v>
      </c>
      <c r="AP5" s="113">
        <f t="shared" si="2"/>
        <v>0</v>
      </c>
      <c r="AQ5" s="113">
        <f t="shared" si="3"/>
        <v>230177800</v>
      </c>
      <c r="AR5" s="63"/>
      <c r="AS5" s="63"/>
      <c r="AT5" s="63"/>
      <c r="AU5" s="63"/>
      <c r="AV5" s="120"/>
      <c r="AW5" s="121"/>
      <c r="AX5" s="63"/>
      <c r="AY5" s="63"/>
      <c r="AZ5" s="63"/>
      <c r="BA5" s="63"/>
      <c r="BB5" s="111"/>
      <c r="BC5" s="111"/>
      <c r="BD5" s="123"/>
      <c r="BE5" s="113"/>
    </row>
    <row r="6" spans="1:62">
      <c r="A6" s="63">
        <v>3</v>
      </c>
      <c r="B6" s="109">
        <v>46113</v>
      </c>
      <c r="C6" s="110">
        <v>4</v>
      </c>
      <c r="D6" s="63" t="s">
        <v>122</v>
      </c>
      <c r="E6" s="63" t="s">
        <v>153</v>
      </c>
      <c r="F6" s="63" t="s">
        <v>330</v>
      </c>
      <c r="G6" s="63" t="s">
        <v>331</v>
      </c>
      <c r="H6" s="63" t="s">
        <v>155</v>
      </c>
      <c r="I6" s="63" t="s">
        <v>134</v>
      </c>
      <c r="J6" s="63"/>
      <c r="K6" s="111" t="s">
        <v>102</v>
      </c>
      <c r="L6" s="63" t="s">
        <v>332</v>
      </c>
      <c r="M6" s="63" t="s">
        <v>107</v>
      </c>
      <c r="N6" s="63"/>
      <c r="O6" s="112">
        <v>46115</v>
      </c>
      <c r="P6" s="113">
        <v>310000000</v>
      </c>
      <c r="Q6" s="113">
        <v>18600000</v>
      </c>
      <c r="R6" s="208"/>
      <c r="S6" s="113"/>
      <c r="T6" s="114"/>
      <c r="U6" s="115"/>
      <c r="V6" s="116">
        <v>18000000</v>
      </c>
      <c r="W6" s="113"/>
      <c r="X6" s="113">
        <v>273400000</v>
      </c>
      <c r="Y6" s="113">
        <v>273400000</v>
      </c>
      <c r="Z6" s="113">
        <f t="shared" si="4"/>
        <v>0</v>
      </c>
      <c r="AA6" s="113">
        <v>273400000</v>
      </c>
      <c r="AB6" s="113">
        <v>297600000</v>
      </c>
      <c r="AC6" s="117"/>
      <c r="AD6" s="118">
        <v>0.04</v>
      </c>
      <c r="AE6" s="118"/>
      <c r="AF6" s="119">
        <v>0</v>
      </c>
      <c r="AG6" s="63"/>
      <c r="AH6" s="118">
        <v>0.04</v>
      </c>
      <c r="AI6" s="63"/>
      <c r="AJ6" s="63"/>
      <c r="AK6" s="115">
        <f t="shared" si="5"/>
        <v>35136000</v>
      </c>
      <c r="AL6" s="113"/>
      <c r="AM6" s="114">
        <v>0</v>
      </c>
      <c r="AN6" s="113">
        <v>0</v>
      </c>
      <c r="AO6" s="113">
        <v>0</v>
      </c>
      <c r="AP6" s="113">
        <f t="shared" si="2"/>
        <v>0</v>
      </c>
      <c r="AQ6" s="113">
        <f t="shared" si="3"/>
        <v>35136000</v>
      </c>
      <c r="AR6" s="63"/>
      <c r="AS6" s="63"/>
      <c r="AT6" s="63"/>
      <c r="AU6" s="63"/>
      <c r="AV6" s="120"/>
      <c r="AW6" s="121"/>
      <c r="AX6" s="63"/>
      <c r="AY6" s="63"/>
      <c r="AZ6" s="63"/>
      <c r="BA6" s="63"/>
      <c r="BB6" s="111"/>
      <c r="BC6" s="111"/>
      <c r="BD6" s="118">
        <v>0.01</v>
      </c>
      <c r="BE6" s="113">
        <f>BD6*AA6</f>
        <v>2734000</v>
      </c>
    </row>
    <row r="7" spans="1:62">
      <c r="A7" s="63">
        <v>4</v>
      </c>
      <c r="B7" s="109">
        <v>46113</v>
      </c>
      <c r="C7" s="110">
        <v>4</v>
      </c>
      <c r="D7" s="63" t="s">
        <v>100</v>
      </c>
      <c r="E7" s="63" t="s">
        <v>154</v>
      </c>
      <c r="F7" s="63" t="s">
        <v>333</v>
      </c>
      <c r="G7" s="63" t="s">
        <v>334</v>
      </c>
      <c r="H7" s="63" t="s">
        <v>167</v>
      </c>
      <c r="I7" s="63" t="s">
        <v>105</v>
      </c>
      <c r="J7" s="63"/>
      <c r="K7" s="111" t="s">
        <v>111</v>
      </c>
      <c r="L7" s="63" t="s">
        <v>335</v>
      </c>
      <c r="M7" s="63" t="s">
        <v>120</v>
      </c>
      <c r="N7" s="63"/>
      <c r="O7" s="112">
        <v>46118</v>
      </c>
      <c r="P7" s="113">
        <v>537000000</v>
      </c>
      <c r="Q7" s="113"/>
      <c r="R7" s="208">
        <v>7.0000000000000007E-2</v>
      </c>
      <c r="S7" s="113"/>
      <c r="T7" s="114"/>
      <c r="U7" s="115"/>
      <c r="V7" s="116"/>
      <c r="W7" s="113"/>
      <c r="X7" s="113">
        <v>537000000</v>
      </c>
      <c r="Y7" s="113">
        <v>537000000</v>
      </c>
      <c r="Z7" s="113">
        <f t="shared" si="4"/>
        <v>0</v>
      </c>
      <c r="AA7" s="113">
        <v>537000000</v>
      </c>
      <c r="AB7" s="113">
        <v>515520000</v>
      </c>
      <c r="AC7" s="117"/>
      <c r="AD7" s="118">
        <v>0.04</v>
      </c>
      <c r="AE7" s="118"/>
      <c r="AF7" s="119">
        <v>0</v>
      </c>
      <c r="AG7" s="63"/>
      <c r="AH7" s="118">
        <v>0.04</v>
      </c>
      <c r="AI7" s="63"/>
      <c r="AJ7" s="63"/>
      <c r="AK7" s="115">
        <f t="shared" si="5"/>
        <v>0</v>
      </c>
      <c r="AL7" s="113"/>
      <c r="AM7" s="114">
        <v>0</v>
      </c>
      <c r="AN7" s="113">
        <v>0</v>
      </c>
      <c r="AO7" s="113">
        <v>7000000</v>
      </c>
      <c r="AP7" s="113">
        <f t="shared" si="2"/>
        <v>3500000</v>
      </c>
      <c r="AQ7" s="113">
        <f t="shared" si="3"/>
        <v>3500000</v>
      </c>
      <c r="AR7" s="63"/>
      <c r="AS7" s="63"/>
      <c r="AT7" s="63"/>
      <c r="AU7" s="63"/>
      <c r="AV7" s="120" t="s">
        <v>336</v>
      </c>
      <c r="AW7" s="121"/>
      <c r="AX7" s="63"/>
      <c r="AY7" s="63"/>
      <c r="AZ7" s="63"/>
      <c r="BA7" s="63"/>
      <c r="BB7" s="111"/>
      <c r="BC7" s="111"/>
      <c r="BD7" s="123"/>
      <c r="BE7" s="113"/>
    </row>
    <row r="8" spans="1:62">
      <c r="A8" s="63">
        <v>5</v>
      </c>
      <c r="B8" s="109">
        <v>46113</v>
      </c>
      <c r="C8" s="110">
        <v>4</v>
      </c>
      <c r="D8" s="63" t="s">
        <v>100</v>
      </c>
      <c r="E8" s="63" t="s">
        <v>180</v>
      </c>
      <c r="F8" s="63" t="s">
        <v>337</v>
      </c>
      <c r="G8" s="63" t="s">
        <v>338</v>
      </c>
      <c r="H8" s="63" t="s">
        <v>173</v>
      </c>
      <c r="I8" s="63" t="s">
        <v>160</v>
      </c>
      <c r="J8" s="63"/>
      <c r="K8" s="111" t="s">
        <v>161</v>
      </c>
      <c r="L8" s="63" t="s">
        <v>339</v>
      </c>
      <c r="M8" s="63" t="s">
        <v>120</v>
      </c>
      <c r="N8" s="63"/>
      <c r="O8" s="112">
        <v>46119</v>
      </c>
      <c r="P8" s="113">
        <v>745000000</v>
      </c>
      <c r="Q8" s="113">
        <v>44700000</v>
      </c>
      <c r="R8" s="208"/>
      <c r="S8" s="113"/>
      <c r="T8" s="114"/>
      <c r="U8" s="115"/>
      <c r="V8" s="116"/>
      <c r="W8" s="113"/>
      <c r="X8" s="113">
        <v>700300000</v>
      </c>
      <c r="Y8" s="113">
        <v>700300000</v>
      </c>
      <c r="Z8" s="113">
        <f t="shared" si="4"/>
        <v>0</v>
      </c>
      <c r="AA8" s="113">
        <v>700300000</v>
      </c>
      <c r="AB8" s="113">
        <v>715200000</v>
      </c>
      <c r="AC8" s="117"/>
      <c r="AD8" s="118">
        <v>0.04</v>
      </c>
      <c r="AE8" s="118"/>
      <c r="AF8" s="119">
        <v>0</v>
      </c>
      <c r="AG8" s="63"/>
      <c r="AH8" s="118">
        <v>0.04</v>
      </c>
      <c r="AI8" s="63"/>
      <c r="AJ8" s="63"/>
      <c r="AK8" s="115">
        <f t="shared" si="5"/>
        <v>42912000</v>
      </c>
      <c r="AL8" s="113"/>
      <c r="AM8" s="114">
        <v>0</v>
      </c>
      <c r="AN8" s="113">
        <v>0</v>
      </c>
      <c r="AO8" s="113">
        <v>10000000</v>
      </c>
      <c r="AP8" s="113">
        <f t="shared" si="2"/>
        <v>5000000</v>
      </c>
      <c r="AQ8" s="113">
        <f t="shared" si="3"/>
        <v>47912000</v>
      </c>
      <c r="AR8" s="63"/>
      <c r="AS8" s="63"/>
      <c r="AT8" s="63"/>
      <c r="AU8" s="63"/>
      <c r="AV8" s="120"/>
      <c r="AW8" s="121"/>
      <c r="AX8" s="63"/>
      <c r="AY8" s="63"/>
      <c r="AZ8" s="63"/>
      <c r="BA8" s="63"/>
      <c r="BB8" s="111"/>
      <c r="BC8" s="111"/>
      <c r="BD8" s="123"/>
      <c r="BE8" s="113"/>
    </row>
    <row r="9" spans="1:62">
      <c r="A9" s="63">
        <v>6</v>
      </c>
      <c r="B9" s="124">
        <v>46113</v>
      </c>
      <c r="C9" s="125">
        <v>1</v>
      </c>
      <c r="D9" s="64" t="s">
        <v>104</v>
      </c>
      <c r="E9" s="64" t="s">
        <v>340</v>
      </c>
      <c r="F9" s="64" t="s">
        <v>341</v>
      </c>
      <c r="G9" s="64" t="s">
        <v>342</v>
      </c>
      <c r="H9" s="63" t="s">
        <v>173</v>
      </c>
      <c r="I9" s="64" t="s">
        <v>160</v>
      </c>
      <c r="J9" s="64"/>
      <c r="K9" s="126" t="s">
        <v>161</v>
      </c>
      <c r="L9" s="127" t="s">
        <v>343</v>
      </c>
      <c r="M9" s="64" t="s">
        <v>103</v>
      </c>
      <c r="N9" s="64"/>
      <c r="O9" s="127">
        <v>0</v>
      </c>
      <c r="P9" s="128">
        <v>745000000</v>
      </c>
      <c r="Q9" s="128">
        <v>44700000</v>
      </c>
      <c r="R9" s="209"/>
      <c r="S9" s="130">
        <v>0.01</v>
      </c>
      <c r="T9" s="129"/>
      <c r="U9" s="128"/>
      <c r="V9" s="130"/>
      <c r="W9" s="130">
        <v>9000000</v>
      </c>
      <c r="X9" s="128">
        <v>684397000</v>
      </c>
      <c r="Y9" s="128">
        <v>684397000</v>
      </c>
      <c r="Z9" s="113">
        <f t="shared" si="4"/>
        <v>0</v>
      </c>
      <c r="AA9" s="128">
        <v>693397000</v>
      </c>
      <c r="AB9" s="113">
        <v>715200000</v>
      </c>
      <c r="AC9" s="131"/>
      <c r="AD9" s="132">
        <v>0.04</v>
      </c>
      <c r="AE9" s="132"/>
      <c r="AF9" s="133">
        <v>0</v>
      </c>
      <c r="AG9" s="64"/>
      <c r="AH9" s="132">
        <v>0.04</v>
      </c>
      <c r="AI9" s="64"/>
      <c r="AJ9" s="64"/>
      <c r="AK9" s="128">
        <f t="shared" si="5"/>
        <v>49538880</v>
      </c>
      <c r="AL9" s="130">
        <f>6903000*40%</f>
        <v>2761200</v>
      </c>
      <c r="AM9" s="114">
        <v>0</v>
      </c>
      <c r="AN9" s="113">
        <v>0</v>
      </c>
      <c r="AO9" s="113">
        <v>10000000</v>
      </c>
      <c r="AP9" s="113">
        <f t="shared" si="2"/>
        <v>5000000</v>
      </c>
      <c r="AQ9" s="113">
        <f t="shared" si="3"/>
        <v>57300080</v>
      </c>
      <c r="AR9" s="64"/>
      <c r="AS9" s="64"/>
      <c r="AT9" s="64"/>
      <c r="AU9" s="64"/>
      <c r="AV9" s="134" t="s">
        <v>344</v>
      </c>
      <c r="AW9" s="135"/>
      <c r="AX9" s="64"/>
      <c r="AY9" s="64"/>
      <c r="AZ9" s="64"/>
      <c r="BA9" s="64"/>
      <c r="BB9" s="122">
        <v>9582000</v>
      </c>
      <c r="BC9" s="126"/>
      <c r="BD9" s="123">
        <v>0.01</v>
      </c>
      <c r="BE9" s="113">
        <f>BD9*AA9</f>
        <v>6933970</v>
      </c>
    </row>
    <row r="10" spans="1:62">
      <c r="A10" s="63">
        <v>7</v>
      </c>
      <c r="B10" s="109">
        <v>46113</v>
      </c>
      <c r="C10" s="110">
        <v>1</v>
      </c>
      <c r="D10" s="63" t="s">
        <v>104</v>
      </c>
      <c r="E10" s="63" t="s">
        <v>345</v>
      </c>
      <c r="F10" s="63" t="s">
        <v>346</v>
      </c>
      <c r="G10" s="63" t="s">
        <v>347</v>
      </c>
      <c r="H10" s="63" t="s">
        <v>167</v>
      </c>
      <c r="I10" s="63" t="s">
        <v>105</v>
      </c>
      <c r="J10" s="63"/>
      <c r="K10" s="111" t="s">
        <v>119</v>
      </c>
      <c r="L10" s="112" t="s">
        <v>348</v>
      </c>
      <c r="M10" s="63" t="s">
        <v>107</v>
      </c>
      <c r="N10" s="63"/>
      <c r="O10" s="112">
        <v>0</v>
      </c>
      <c r="P10" s="113">
        <v>529000000</v>
      </c>
      <c r="Q10" s="113">
        <v>31740000</v>
      </c>
      <c r="R10" s="208"/>
      <c r="S10" s="113"/>
      <c r="T10" s="114">
        <v>15870000</v>
      </c>
      <c r="U10" s="115"/>
      <c r="V10" s="116"/>
      <c r="W10" s="116">
        <v>7000000</v>
      </c>
      <c r="X10" s="113">
        <v>474390000</v>
      </c>
      <c r="Y10" s="113">
        <v>474390000</v>
      </c>
      <c r="Z10" s="113">
        <f t="shared" si="4"/>
        <v>0</v>
      </c>
      <c r="AA10" s="113">
        <v>481390000</v>
      </c>
      <c r="AB10" s="113">
        <v>507840000</v>
      </c>
      <c r="AC10" s="117"/>
      <c r="AD10" s="118">
        <v>0.04</v>
      </c>
      <c r="AE10" s="118"/>
      <c r="AF10" s="119">
        <v>0</v>
      </c>
      <c r="AG10" s="63"/>
      <c r="AH10" s="118">
        <v>0.04</v>
      </c>
      <c r="AI10" s="63"/>
      <c r="AJ10" s="63"/>
      <c r="AK10" s="115">
        <f t="shared" si="5"/>
        <v>45705600</v>
      </c>
      <c r="AL10" s="113"/>
      <c r="AM10" s="114">
        <v>0</v>
      </c>
      <c r="AN10" s="113">
        <v>0</v>
      </c>
      <c r="AO10" s="113">
        <v>0</v>
      </c>
      <c r="AP10" s="113">
        <f t="shared" si="2"/>
        <v>0</v>
      </c>
      <c r="AQ10" s="113">
        <f t="shared" si="3"/>
        <v>45705600</v>
      </c>
      <c r="AR10" s="63"/>
      <c r="AS10" s="63"/>
      <c r="AT10" s="63"/>
      <c r="AU10" s="63"/>
      <c r="AV10" s="120"/>
      <c r="AW10" s="121"/>
      <c r="AX10" s="63"/>
      <c r="AY10" s="63"/>
      <c r="AZ10" s="63"/>
      <c r="BA10" s="63"/>
      <c r="BB10" s="111"/>
      <c r="BC10" s="111"/>
      <c r="BD10" s="118">
        <v>0.01</v>
      </c>
      <c r="BE10" s="113">
        <f>BD10*AA10</f>
        <v>4813900</v>
      </c>
    </row>
    <row r="11" spans="1:62">
      <c r="A11" s="63">
        <v>8</v>
      </c>
      <c r="B11" s="63">
        <v>4.2026000000000003</v>
      </c>
      <c r="C11" s="110">
        <v>12</v>
      </c>
      <c r="D11" s="63" t="s">
        <v>104</v>
      </c>
      <c r="E11" s="63" t="s">
        <v>171</v>
      </c>
      <c r="F11" s="63" t="s">
        <v>349</v>
      </c>
      <c r="G11" s="63" t="s">
        <v>350</v>
      </c>
      <c r="H11" s="63" t="s">
        <v>155</v>
      </c>
      <c r="I11" s="63" t="s">
        <v>351</v>
      </c>
      <c r="J11" s="63"/>
      <c r="K11" s="111" t="s">
        <v>102</v>
      </c>
      <c r="L11" s="136" t="s">
        <v>352</v>
      </c>
      <c r="M11" s="63" t="s">
        <v>123</v>
      </c>
      <c r="N11" s="63"/>
      <c r="O11" s="112"/>
      <c r="P11" s="113">
        <v>310000000</v>
      </c>
      <c r="Q11" s="113">
        <v>18600000</v>
      </c>
      <c r="R11" s="208"/>
      <c r="S11" s="201">
        <v>0.01</v>
      </c>
      <c r="T11" s="114">
        <v>9300000</v>
      </c>
      <c r="U11" s="115"/>
      <c r="V11" s="116">
        <v>18000000</v>
      </c>
      <c r="W11" s="116">
        <v>7000000</v>
      </c>
      <c r="X11" s="113">
        <v>254459000</v>
      </c>
      <c r="Y11" s="113">
        <v>254459000</v>
      </c>
      <c r="Z11" s="113">
        <v>0</v>
      </c>
      <c r="AA11" s="113">
        <v>261459000</v>
      </c>
      <c r="AB11" s="113">
        <v>300700000</v>
      </c>
      <c r="AC11" s="117"/>
      <c r="AD11" s="118">
        <v>0.04</v>
      </c>
      <c r="AE11" s="118"/>
      <c r="AF11" s="119" t="s">
        <v>353</v>
      </c>
      <c r="AG11" s="63"/>
      <c r="AH11" s="118">
        <v>0.04</v>
      </c>
      <c r="AI11" s="63"/>
      <c r="AJ11" s="63"/>
      <c r="AK11" s="115">
        <v>49699360</v>
      </c>
      <c r="AL11" s="116"/>
      <c r="AM11" s="114">
        <v>0</v>
      </c>
      <c r="AN11" s="113"/>
      <c r="AO11" s="113"/>
      <c r="AP11" s="113"/>
      <c r="AQ11" s="63">
        <v>50755760</v>
      </c>
      <c r="AR11" s="63"/>
      <c r="AS11" s="63"/>
      <c r="AT11" s="63"/>
      <c r="AU11" s="63"/>
      <c r="AV11" s="120"/>
      <c r="AW11" s="121"/>
      <c r="AX11" s="63"/>
      <c r="AY11" s="63"/>
      <c r="AZ11" s="63"/>
      <c r="BA11" s="63"/>
      <c r="BB11" s="111"/>
      <c r="BC11" s="111"/>
      <c r="BD11" s="123"/>
      <c r="BE11" s="113"/>
      <c r="BI11" t="s">
        <v>354</v>
      </c>
      <c r="BJ11" t="s">
        <v>355</v>
      </c>
    </row>
    <row r="12" spans="1:62">
      <c r="A12" s="63">
        <v>9</v>
      </c>
      <c r="B12" s="109">
        <v>46113</v>
      </c>
      <c r="C12" s="110">
        <v>1</v>
      </c>
      <c r="D12" s="63" t="s">
        <v>104</v>
      </c>
      <c r="E12" s="63" t="s">
        <v>171</v>
      </c>
      <c r="F12" s="63" t="s">
        <v>356</v>
      </c>
      <c r="G12" s="63" t="s">
        <v>357</v>
      </c>
      <c r="H12" s="65" t="s">
        <v>58</v>
      </c>
      <c r="I12" s="63" t="s">
        <v>174</v>
      </c>
      <c r="J12" s="63"/>
      <c r="K12" s="111" t="s">
        <v>126</v>
      </c>
      <c r="L12" s="136" t="s">
        <v>358</v>
      </c>
      <c r="M12" s="63" t="s">
        <v>107</v>
      </c>
      <c r="N12" s="63"/>
      <c r="O12" s="112">
        <v>0</v>
      </c>
      <c r="P12" s="113">
        <v>305000000</v>
      </c>
      <c r="Q12" s="113">
        <v>18300000</v>
      </c>
      <c r="R12" s="208"/>
      <c r="S12" s="113"/>
      <c r="T12" s="114"/>
      <c r="U12" s="115"/>
      <c r="V12" s="116"/>
      <c r="W12" s="116">
        <v>3500000</v>
      </c>
      <c r="X12" s="113">
        <v>283200000</v>
      </c>
      <c r="Y12" s="113">
        <v>283200000</v>
      </c>
      <c r="Z12" s="113">
        <f t="shared" si="4"/>
        <v>0</v>
      </c>
      <c r="AA12" s="113">
        <v>286700000</v>
      </c>
      <c r="AB12" s="137">
        <v>292800000</v>
      </c>
      <c r="AC12" s="117"/>
      <c r="AD12" s="118">
        <v>0.04</v>
      </c>
      <c r="AE12" s="118"/>
      <c r="AF12" s="119">
        <v>0</v>
      </c>
      <c r="AG12" s="63"/>
      <c r="AH12" s="118">
        <v>0.04</v>
      </c>
      <c r="AI12" s="63"/>
      <c r="AJ12" s="63"/>
      <c r="AK12" s="115">
        <f t="shared" si="5"/>
        <v>17568000</v>
      </c>
      <c r="AL12" s="113"/>
      <c r="AM12" s="114">
        <v>0</v>
      </c>
      <c r="AN12" s="113">
        <v>0</v>
      </c>
      <c r="AO12" s="113">
        <v>5000000</v>
      </c>
      <c r="AP12" s="113">
        <f t="shared" si="2"/>
        <v>2500000</v>
      </c>
      <c r="AQ12" s="113">
        <f t="shared" si="3"/>
        <v>20068000</v>
      </c>
      <c r="AR12" s="63"/>
      <c r="AS12" s="63"/>
      <c r="AT12" s="63"/>
      <c r="AU12" s="63"/>
      <c r="AV12" s="120"/>
      <c r="AW12" s="121"/>
      <c r="AX12" s="63"/>
      <c r="AY12" s="63"/>
      <c r="AZ12" s="63"/>
      <c r="BA12" s="63"/>
      <c r="BB12" s="111"/>
      <c r="BC12" s="111"/>
      <c r="BD12" s="118">
        <v>0.01</v>
      </c>
      <c r="BE12" s="113">
        <f>BD12*AA12</f>
        <v>2867000</v>
      </c>
    </row>
    <row r="13" spans="1:62">
      <c r="A13" s="63">
        <v>10</v>
      </c>
      <c r="B13" s="109">
        <v>46114</v>
      </c>
      <c r="C13" s="110">
        <v>1</v>
      </c>
      <c r="D13" s="63" t="s">
        <v>104</v>
      </c>
      <c r="E13" s="63" t="s">
        <v>163</v>
      </c>
      <c r="F13" s="63" t="s">
        <v>359</v>
      </c>
      <c r="G13" s="63" t="s">
        <v>360</v>
      </c>
      <c r="H13" s="63" t="s">
        <v>167</v>
      </c>
      <c r="I13" s="63" t="s">
        <v>105</v>
      </c>
      <c r="J13" s="63"/>
      <c r="K13" s="111" t="s">
        <v>119</v>
      </c>
      <c r="L13" s="112" t="s">
        <v>361</v>
      </c>
      <c r="M13" s="63" t="s">
        <v>103</v>
      </c>
      <c r="N13" s="63"/>
      <c r="O13" s="112">
        <v>0</v>
      </c>
      <c r="P13" s="113">
        <v>529000000</v>
      </c>
      <c r="Q13" s="113"/>
      <c r="R13" s="208">
        <v>7.0000000000000007E-2</v>
      </c>
      <c r="S13" s="113"/>
      <c r="T13" s="114">
        <v>15870000</v>
      </c>
      <c r="U13" s="115"/>
      <c r="V13" s="116"/>
      <c r="W13" s="116">
        <v>7000000</v>
      </c>
      <c r="X13" s="113">
        <v>506130000</v>
      </c>
      <c r="Y13" s="113">
        <v>506130000</v>
      </c>
      <c r="Z13" s="113">
        <f t="shared" si="4"/>
        <v>0</v>
      </c>
      <c r="AA13" s="113">
        <v>513130000</v>
      </c>
      <c r="AB13" s="113">
        <v>507840000</v>
      </c>
      <c r="AC13" s="117"/>
      <c r="AD13" s="118">
        <v>0.04</v>
      </c>
      <c r="AE13" s="118"/>
      <c r="AF13" s="119">
        <v>0</v>
      </c>
      <c r="AG13" s="63"/>
      <c r="AH13" s="118">
        <v>0.04</v>
      </c>
      <c r="AI13" s="63"/>
      <c r="AJ13" s="63"/>
      <c r="AK13" s="115">
        <f t="shared" si="5"/>
        <v>15235200</v>
      </c>
      <c r="AL13" s="113"/>
      <c r="AM13" s="114">
        <v>0</v>
      </c>
      <c r="AN13" s="113">
        <v>0</v>
      </c>
      <c r="AO13" s="113">
        <v>0</v>
      </c>
      <c r="AP13" s="113">
        <f t="shared" si="2"/>
        <v>0</v>
      </c>
      <c r="AQ13" s="113">
        <f t="shared" si="3"/>
        <v>15235200</v>
      </c>
      <c r="AR13" s="63"/>
      <c r="AS13" s="63"/>
      <c r="AT13" s="63"/>
      <c r="AU13" s="63"/>
      <c r="AV13" s="120" t="s">
        <v>362</v>
      </c>
      <c r="AW13" s="121"/>
      <c r="AX13" s="63"/>
      <c r="AY13" s="63"/>
      <c r="AZ13" s="63"/>
      <c r="BA13" s="63"/>
      <c r="BB13" s="122">
        <v>7086000</v>
      </c>
      <c r="BC13" s="111"/>
      <c r="BD13" s="123">
        <v>0.01</v>
      </c>
      <c r="BE13" s="113">
        <f>BD13*AA13</f>
        <v>5131300</v>
      </c>
    </row>
    <row r="14" spans="1:62">
      <c r="A14" s="63">
        <v>11</v>
      </c>
      <c r="B14" s="109">
        <v>46115</v>
      </c>
      <c r="C14" s="110">
        <v>4</v>
      </c>
      <c r="D14" s="63" t="s">
        <v>112</v>
      </c>
      <c r="E14" s="63" t="s">
        <v>175</v>
      </c>
      <c r="F14" s="63" t="s">
        <v>363</v>
      </c>
      <c r="G14" s="63" t="s">
        <v>364</v>
      </c>
      <c r="H14" s="64" t="s">
        <v>321</v>
      </c>
      <c r="I14" s="63" t="s">
        <v>365</v>
      </c>
      <c r="J14" s="63"/>
      <c r="K14" s="111" t="s">
        <v>366</v>
      </c>
      <c r="L14" s="63" t="s">
        <v>367</v>
      </c>
      <c r="M14" s="63" t="s">
        <v>103</v>
      </c>
      <c r="N14" s="63"/>
      <c r="O14" s="112">
        <v>46114</v>
      </c>
      <c r="P14" s="113">
        <v>1211000000</v>
      </c>
      <c r="Q14" s="115">
        <v>121100000</v>
      </c>
      <c r="R14" s="208"/>
      <c r="S14" s="113"/>
      <c r="T14" s="114"/>
      <c r="U14" s="138">
        <v>0.05</v>
      </c>
      <c r="V14" s="116"/>
      <c r="W14" s="113"/>
      <c r="X14" s="113">
        <v>1029350000</v>
      </c>
      <c r="Y14" s="113">
        <v>1029350000</v>
      </c>
      <c r="Z14" s="113">
        <f t="shared" si="4"/>
        <v>0</v>
      </c>
      <c r="AA14" s="113">
        <v>1029350000</v>
      </c>
      <c r="AB14" s="113">
        <v>1144395000</v>
      </c>
      <c r="AC14" s="63"/>
      <c r="AD14" s="139">
        <v>5.5E-2</v>
      </c>
      <c r="AE14" s="118"/>
      <c r="AF14" s="119">
        <v>0</v>
      </c>
      <c r="AG14" s="63"/>
      <c r="AH14" s="118">
        <v>5.5E-2</v>
      </c>
      <c r="AI14" s="63"/>
      <c r="AJ14" s="123">
        <v>2.5000000000000001E-2</v>
      </c>
      <c r="AK14" s="115">
        <f t="shared" si="5"/>
        <v>141384250</v>
      </c>
      <c r="AL14" s="113"/>
      <c r="AM14" s="114">
        <v>0</v>
      </c>
      <c r="AN14" s="113">
        <v>0</v>
      </c>
      <c r="AO14" s="113">
        <v>0</v>
      </c>
      <c r="AP14" s="113">
        <f t="shared" si="2"/>
        <v>0</v>
      </c>
      <c r="AQ14" s="113">
        <f t="shared" si="3"/>
        <v>141384250</v>
      </c>
      <c r="AR14" s="63"/>
      <c r="AS14" s="63"/>
      <c r="AT14" s="63"/>
      <c r="AU14" s="63"/>
      <c r="AV14" s="140" t="s">
        <v>368</v>
      </c>
      <c r="AW14" s="141" t="s">
        <v>369</v>
      </c>
      <c r="AX14" s="63"/>
      <c r="AY14" s="63"/>
      <c r="AZ14" s="63"/>
      <c r="BA14" s="142"/>
      <c r="BB14" s="111"/>
      <c r="BC14" s="111"/>
      <c r="BD14" s="123">
        <v>0.02</v>
      </c>
      <c r="BE14" s="113">
        <f>BD14*AA14</f>
        <v>20587000</v>
      </c>
    </row>
    <row r="15" spans="1:62">
      <c r="A15" s="63">
        <v>12</v>
      </c>
      <c r="B15" s="109">
        <v>46116</v>
      </c>
      <c r="C15" s="110">
        <v>4</v>
      </c>
      <c r="D15" s="63" t="s">
        <v>112</v>
      </c>
      <c r="E15" s="63" t="s">
        <v>113</v>
      </c>
      <c r="F15" s="63" t="s">
        <v>370</v>
      </c>
      <c r="G15" s="63" t="s">
        <v>371</v>
      </c>
      <c r="H15" s="63" t="s">
        <v>57</v>
      </c>
      <c r="I15" s="63">
        <v>0</v>
      </c>
      <c r="J15" s="63"/>
      <c r="K15" s="111" t="s">
        <v>127</v>
      </c>
      <c r="L15" s="63" t="s">
        <v>372</v>
      </c>
      <c r="M15" s="63" t="s">
        <v>103</v>
      </c>
      <c r="N15" s="63"/>
      <c r="O15" s="112">
        <v>46114</v>
      </c>
      <c r="P15" s="113">
        <v>269000000</v>
      </c>
      <c r="Q15" s="113">
        <v>16140000</v>
      </c>
      <c r="R15" s="208"/>
      <c r="S15" s="113"/>
      <c r="T15" s="114"/>
      <c r="U15" s="115"/>
      <c r="V15" s="116">
        <v>6000000</v>
      </c>
      <c r="W15" s="113"/>
      <c r="X15" s="113">
        <v>246860000</v>
      </c>
      <c r="Y15" s="113">
        <v>246860000</v>
      </c>
      <c r="Z15" s="113">
        <f t="shared" si="4"/>
        <v>0</v>
      </c>
      <c r="AA15" s="113">
        <v>246860000</v>
      </c>
      <c r="AB15" s="113">
        <v>258240000</v>
      </c>
      <c r="AC15" s="63"/>
      <c r="AD15" s="118">
        <v>0.04</v>
      </c>
      <c r="AE15" s="118"/>
      <c r="AF15" s="119">
        <v>0</v>
      </c>
      <c r="AG15" s="63"/>
      <c r="AH15" s="118">
        <v>0.04</v>
      </c>
      <c r="AI15" s="63"/>
      <c r="AJ15" s="63"/>
      <c r="AK15" s="115">
        <f t="shared" si="5"/>
        <v>21254400</v>
      </c>
      <c r="AL15" s="113"/>
      <c r="AM15" s="114">
        <v>0</v>
      </c>
      <c r="AN15" s="113">
        <v>0</v>
      </c>
      <c r="AO15" s="113">
        <v>5000000</v>
      </c>
      <c r="AP15" s="113">
        <f t="shared" si="2"/>
        <v>2500000</v>
      </c>
      <c r="AQ15" s="113">
        <f t="shared" si="3"/>
        <v>23754400</v>
      </c>
      <c r="AR15" s="63"/>
      <c r="AS15" s="63"/>
      <c r="AT15" s="63"/>
      <c r="AU15" s="63"/>
      <c r="AV15" s="143"/>
      <c r="AW15" s="121" t="s">
        <v>249</v>
      </c>
      <c r="AX15" s="63"/>
      <c r="AY15" s="63"/>
      <c r="AZ15" s="63"/>
      <c r="BA15" s="63"/>
      <c r="BB15" s="111"/>
      <c r="BC15" s="111"/>
      <c r="BD15" s="123">
        <v>0.01</v>
      </c>
      <c r="BE15" s="113">
        <f>BD15*AA15</f>
        <v>2468600</v>
      </c>
    </row>
    <row r="16" spans="1:62">
      <c r="A16" s="63">
        <v>13</v>
      </c>
      <c r="B16" s="109">
        <v>46117</v>
      </c>
      <c r="C16" s="110">
        <v>4</v>
      </c>
      <c r="D16" s="63" t="s">
        <v>112</v>
      </c>
      <c r="E16" s="63" t="s">
        <v>137</v>
      </c>
      <c r="F16" s="63" t="s">
        <v>373</v>
      </c>
      <c r="G16" s="63" t="s">
        <v>374</v>
      </c>
      <c r="H16" s="63" t="s">
        <v>117</v>
      </c>
      <c r="I16" s="63" t="s">
        <v>117</v>
      </c>
      <c r="J16" s="63"/>
      <c r="K16" s="111" t="s">
        <v>117</v>
      </c>
      <c r="L16" s="63" t="s">
        <v>375</v>
      </c>
      <c r="M16" s="63" t="s">
        <v>120</v>
      </c>
      <c r="N16" s="63"/>
      <c r="O16" s="112">
        <v>46119</v>
      </c>
      <c r="P16" s="113">
        <v>819000000</v>
      </c>
      <c r="Q16" s="113">
        <v>49140000</v>
      </c>
      <c r="R16" s="208"/>
      <c r="S16" s="113"/>
      <c r="T16" s="114"/>
      <c r="U16" s="115"/>
      <c r="V16" s="116"/>
      <c r="W16" s="113"/>
      <c r="X16" s="113">
        <v>769860000</v>
      </c>
      <c r="Y16" s="113">
        <v>769860000</v>
      </c>
      <c r="Z16" s="113">
        <f t="shared" si="4"/>
        <v>0</v>
      </c>
      <c r="AA16" s="113">
        <v>769860000</v>
      </c>
      <c r="AB16" s="113">
        <v>786240000</v>
      </c>
      <c r="AC16" s="63"/>
      <c r="AD16" s="118">
        <v>0.04</v>
      </c>
      <c r="AE16" s="118"/>
      <c r="AF16" s="119">
        <v>0</v>
      </c>
      <c r="AG16" s="63"/>
      <c r="AH16" s="118">
        <v>0.04</v>
      </c>
      <c r="AI16" s="63"/>
      <c r="AJ16" s="63"/>
      <c r="AK16" s="115">
        <f t="shared" si="5"/>
        <v>47174400</v>
      </c>
      <c r="AL16" s="113"/>
      <c r="AM16" s="114">
        <v>15000000</v>
      </c>
      <c r="AN16" s="113">
        <v>0</v>
      </c>
      <c r="AO16" s="113">
        <v>0</v>
      </c>
      <c r="AP16" s="113">
        <f t="shared" si="2"/>
        <v>0</v>
      </c>
      <c r="AQ16" s="113">
        <f t="shared" si="3"/>
        <v>62174400</v>
      </c>
      <c r="AR16" s="63"/>
      <c r="AS16" s="63"/>
      <c r="AT16" s="63"/>
      <c r="AU16" s="63"/>
      <c r="AV16" s="143"/>
      <c r="AW16" s="140" t="s">
        <v>376</v>
      </c>
      <c r="AX16" s="63"/>
      <c r="AY16" s="63"/>
      <c r="AZ16" s="63"/>
      <c r="BA16" s="142"/>
      <c r="BB16" s="111"/>
      <c r="BC16" s="111"/>
      <c r="BD16" s="123"/>
      <c r="BE16" s="113"/>
    </row>
    <row r="17" spans="1:57">
      <c r="A17" s="63">
        <v>14</v>
      </c>
      <c r="B17" s="109">
        <v>46118</v>
      </c>
      <c r="C17" s="110">
        <v>4</v>
      </c>
      <c r="D17" s="63" t="s">
        <v>112</v>
      </c>
      <c r="E17" s="63" t="s">
        <v>132</v>
      </c>
      <c r="F17" s="63" t="s">
        <v>377</v>
      </c>
      <c r="G17" s="63" t="s">
        <v>378</v>
      </c>
      <c r="H17" s="63" t="s">
        <v>155</v>
      </c>
      <c r="I17" s="63" t="s">
        <v>134</v>
      </c>
      <c r="J17" s="63"/>
      <c r="K17" s="111" t="s">
        <v>108</v>
      </c>
      <c r="L17" s="63" t="s">
        <v>379</v>
      </c>
      <c r="M17" s="63" t="s">
        <v>103</v>
      </c>
      <c r="N17" s="63"/>
      <c r="O17" s="112">
        <v>46119</v>
      </c>
      <c r="P17" s="113">
        <v>302000000</v>
      </c>
      <c r="Q17" s="113">
        <v>18120000</v>
      </c>
      <c r="R17" s="208"/>
      <c r="S17" s="113"/>
      <c r="T17" s="114"/>
      <c r="U17" s="115"/>
      <c r="V17" s="116"/>
      <c r="W17" s="113"/>
      <c r="X17" s="113">
        <v>283880000</v>
      </c>
      <c r="Y17" s="113">
        <v>283880000</v>
      </c>
      <c r="Z17" s="113">
        <f t="shared" si="4"/>
        <v>0</v>
      </c>
      <c r="AA17" s="113">
        <v>283880000</v>
      </c>
      <c r="AB17" s="113">
        <v>289920000</v>
      </c>
      <c r="AC17" s="63"/>
      <c r="AD17" s="118">
        <v>0.04</v>
      </c>
      <c r="AE17" s="118"/>
      <c r="AF17" s="119">
        <v>0</v>
      </c>
      <c r="AG17" s="63"/>
      <c r="AH17" s="118">
        <v>0.04</v>
      </c>
      <c r="AI17" s="63"/>
      <c r="AJ17" s="63"/>
      <c r="AK17" s="115">
        <f t="shared" si="5"/>
        <v>17395200</v>
      </c>
      <c r="AL17" s="113"/>
      <c r="AM17" s="114">
        <v>0</v>
      </c>
      <c r="AN17" s="113">
        <v>0</v>
      </c>
      <c r="AO17" s="113">
        <v>0</v>
      </c>
      <c r="AP17" s="113">
        <f t="shared" si="2"/>
        <v>0</v>
      </c>
      <c r="AQ17" s="113">
        <f t="shared" si="3"/>
        <v>17395200</v>
      </c>
      <c r="AR17" s="63"/>
      <c r="AS17" s="63"/>
      <c r="AT17" s="63"/>
      <c r="AU17" s="63"/>
      <c r="AV17" s="140" t="s">
        <v>368</v>
      </c>
      <c r="AW17" s="121" t="s">
        <v>249</v>
      </c>
      <c r="AX17" s="63"/>
      <c r="AY17" s="63"/>
      <c r="AZ17" s="63"/>
      <c r="BA17" s="142"/>
      <c r="BB17" s="111"/>
      <c r="BC17" s="111"/>
      <c r="BD17" s="123">
        <v>0.01</v>
      </c>
      <c r="BE17" s="113">
        <f t="shared" ref="BE17:BE24" si="6">BD17*AA17</f>
        <v>2838800</v>
      </c>
    </row>
    <row r="18" spans="1:57">
      <c r="A18" s="63">
        <v>15</v>
      </c>
      <c r="B18" s="109">
        <v>46119</v>
      </c>
      <c r="C18" s="110">
        <v>4</v>
      </c>
      <c r="D18" s="63" t="s">
        <v>112</v>
      </c>
      <c r="E18" s="63" t="s">
        <v>135</v>
      </c>
      <c r="F18" s="63" t="s">
        <v>380</v>
      </c>
      <c r="G18" s="63" t="s">
        <v>381</v>
      </c>
      <c r="H18" s="63" t="s">
        <v>52</v>
      </c>
      <c r="I18" s="63" t="s">
        <v>52</v>
      </c>
      <c r="J18" s="63"/>
      <c r="K18" s="111" t="s">
        <v>114</v>
      </c>
      <c r="L18" s="63" t="s">
        <v>382</v>
      </c>
      <c r="M18" s="63" t="s">
        <v>103</v>
      </c>
      <c r="N18" s="63"/>
      <c r="O18" s="112">
        <v>46120</v>
      </c>
      <c r="P18" s="113">
        <v>749000000</v>
      </c>
      <c r="Q18" s="113">
        <v>44940000</v>
      </c>
      <c r="R18" s="208"/>
      <c r="S18" s="113"/>
      <c r="T18" s="114"/>
      <c r="U18" s="115"/>
      <c r="V18" s="116"/>
      <c r="W18" s="116">
        <v>12000000</v>
      </c>
      <c r="X18" s="113">
        <v>692060000</v>
      </c>
      <c r="Y18" s="113">
        <v>692060000</v>
      </c>
      <c r="Z18" s="113">
        <f t="shared" si="4"/>
        <v>0</v>
      </c>
      <c r="AA18" s="113">
        <v>704060000</v>
      </c>
      <c r="AB18" s="113">
        <v>719040000</v>
      </c>
      <c r="AC18" s="63"/>
      <c r="AD18" s="118">
        <v>0.04</v>
      </c>
      <c r="AE18" s="118"/>
      <c r="AF18" s="119">
        <v>0</v>
      </c>
      <c r="AG18" s="63"/>
      <c r="AH18" s="118">
        <v>0.04</v>
      </c>
      <c r="AI18" s="63"/>
      <c r="AJ18" s="63"/>
      <c r="AK18" s="115">
        <f t="shared" si="5"/>
        <v>43142400</v>
      </c>
      <c r="AL18" s="113"/>
      <c r="AM18" s="114">
        <v>0</v>
      </c>
      <c r="AN18" s="113">
        <v>0</v>
      </c>
      <c r="AO18" s="113">
        <v>10000000</v>
      </c>
      <c r="AP18" s="113">
        <f t="shared" si="2"/>
        <v>5000000</v>
      </c>
      <c r="AQ18" s="113">
        <f t="shared" si="3"/>
        <v>48142400</v>
      </c>
      <c r="AR18" s="63"/>
      <c r="AS18" s="63"/>
      <c r="AT18" s="63"/>
      <c r="AU18" s="63"/>
      <c r="AV18" s="144" t="s">
        <v>383</v>
      </c>
      <c r="AW18" s="121" t="s">
        <v>249</v>
      </c>
      <c r="AX18" s="63"/>
      <c r="AY18" s="63"/>
      <c r="AZ18" s="63"/>
      <c r="BA18" s="142"/>
      <c r="BB18" s="111"/>
      <c r="BC18" s="111"/>
      <c r="BD18" s="123">
        <v>0.01</v>
      </c>
      <c r="BE18" s="113">
        <f t="shared" si="6"/>
        <v>7040600</v>
      </c>
    </row>
    <row r="19" spans="1:57">
      <c r="A19" s="63">
        <v>16</v>
      </c>
      <c r="B19" s="109">
        <v>46120</v>
      </c>
      <c r="C19" s="110">
        <v>1</v>
      </c>
      <c r="D19" s="63" t="s">
        <v>138</v>
      </c>
      <c r="E19" s="63" t="s">
        <v>200</v>
      </c>
      <c r="F19" s="63" t="s">
        <v>384</v>
      </c>
      <c r="G19" s="63" t="s">
        <v>385</v>
      </c>
      <c r="H19" s="63" t="s">
        <v>155</v>
      </c>
      <c r="I19" s="63" t="s">
        <v>140</v>
      </c>
      <c r="J19" s="63"/>
      <c r="K19" s="111" t="s">
        <v>106</v>
      </c>
      <c r="L19" s="63" t="s">
        <v>386</v>
      </c>
      <c r="M19" s="63" t="s">
        <v>107</v>
      </c>
      <c r="N19" s="63"/>
      <c r="O19" s="112">
        <v>0</v>
      </c>
      <c r="P19" s="113">
        <v>315000000</v>
      </c>
      <c r="Q19" s="113">
        <v>18900000</v>
      </c>
      <c r="R19" s="208"/>
      <c r="S19" s="113"/>
      <c r="T19" s="114">
        <v>9450000</v>
      </c>
      <c r="U19" s="115"/>
      <c r="V19" s="116"/>
      <c r="W19" s="113"/>
      <c r="X19" s="113">
        <v>286650000</v>
      </c>
      <c r="Y19" s="113">
        <v>286650000</v>
      </c>
      <c r="Z19" s="113">
        <f t="shared" si="4"/>
        <v>0</v>
      </c>
      <c r="AA19" s="113">
        <v>286650000</v>
      </c>
      <c r="AB19" s="113">
        <v>302400000</v>
      </c>
      <c r="AC19" s="63"/>
      <c r="AD19" s="118">
        <v>0.04</v>
      </c>
      <c r="AE19" s="118"/>
      <c r="AF19" s="119">
        <v>0</v>
      </c>
      <c r="AG19" s="63"/>
      <c r="AH19" s="118">
        <v>0.04</v>
      </c>
      <c r="AI19" s="63"/>
      <c r="AJ19" s="63"/>
      <c r="AK19" s="115">
        <f t="shared" si="5"/>
        <v>27216000</v>
      </c>
      <c r="AL19" s="113"/>
      <c r="AM19" s="114">
        <v>0</v>
      </c>
      <c r="AN19" s="113">
        <v>0</v>
      </c>
      <c r="AO19" s="113">
        <v>0</v>
      </c>
      <c r="AP19" s="113">
        <f t="shared" si="2"/>
        <v>0</v>
      </c>
      <c r="AQ19" s="113">
        <f t="shared" si="3"/>
        <v>27216000</v>
      </c>
      <c r="AR19" s="63"/>
      <c r="AS19" s="63"/>
      <c r="AT19" s="63"/>
      <c r="AU19" s="63"/>
      <c r="AV19" s="120"/>
      <c r="AW19" s="121"/>
      <c r="AX19" s="63"/>
      <c r="AY19" s="63"/>
      <c r="AZ19" s="63"/>
      <c r="BA19" s="63"/>
      <c r="BB19" s="111"/>
      <c r="BC19" s="111"/>
      <c r="BD19" s="118">
        <v>0.01</v>
      </c>
      <c r="BE19" s="113">
        <f t="shared" si="6"/>
        <v>2866500</v>
      </c>
    </row>
    <row r="20" spans="1:57">
      <c r="A20" s="63">
        <v>17</v>
      </c>
      <c r="B20" s="109">
        <v>46121</v>
      </c>
      <c r="C20" s="110">
        <v>1</v>
      </c>
      <c r="D20" s="63" t="s">
        <v>138</v>
      </c>
      <c r="E20" s="63" t="s">
        <v>194</v>
      </c>
      <c r="F20" s="63" t="s">
        <v>387</v>
      </c>
      <c r="G20" s="63" t="s">
        <v>388</v>
      </c>
      <c r="H20" s="63" t="s">
        <v>173</v>
      </c>
      <c r="I20" s="63" t="s">
        <v>197</v>
      </c>
      <c r="J20" s="63"/>
      <c r="K20" s="111" t="s">
        <v>161</v>
      </c>
      <c r="L20" s="63" t="s">
        <v>389</v>
      </c>
      <c r="M20" s="63" t="s">
        <v>107</v>
      </c>
      <c r="N20" s="63"/>
      <c r="O20" s="112">
        <v>0</v>
      </c>
      <c r="P20" s="113">
        <v>745000000</v>
      </c>
      <c r="Q20" s="113"/>
      <c r="R20" s="208">
        <v>7.0000000000000007E-2</v>
      </c>
      <c r="S20" s="113"/>
      <c r="T20" s="114"/>
      <c r="U20" s="115"/>
      <c r="V20" s="116"/>
      <c r="W20" s="116">
        <v>10000000</v>
      </c>
      <c r="X20" s="113">
        <v>735000000</v>
      </c>
      <c r="Y20" s="113">
        <v>735000000</v>
      </c>
      <c r="Z20" s="113">
        <f t="shared" si="4"/>
        <v>0</v>
      </c>
      <c r="AA20" s="113">
        <v>745000000</v>
      </c>
      <c r="AB20" s="113">
        <v>715200000</v>
      </c>
      <c r="AC20" s="63"/>
      <c r="AD20" s="118">
        <v>0.04</v>
      </c>
      <c r="AE20" s="118"/>
      <c r="AF20" s="119">
        <v>0</v>
      </c>
      <c r="AG20" s="63"/>
      <c r="AH20" s="118">
        <v>0.04</v>
      </c>
      <c r="AI20" s="63"/>
      <c r="AJ20" s="63"/>
      <c r="AK20" s="115">
        <f t="shared" si="5"/>
        <v>0</v>
      </c>
      <c r="AL20" s="113"/>
      <c r="AM20" s="114">
        <v>0</v>
      </c>
      <c r="AN20" s="113">
        <v>0</v>
      </c>
      <c r="AO20" s="113">
        <v>0</v>
      </c>
      <c r="AP20" s="113">
        <f t="shared" si="2"/>
        <v>0</v>
      </c>
      <c r="AQ20" s="113">
        <f t="shared" si="3"/>
        <v>0</v>
      </c>
      <c r="AR20" s="63"/>
      <c r="AS20" s="63"/>
      <c r="AT20" s="63"/>
      <c r="AU20" s="63"/>
      <c r="AV20" s="120"/>
      <c r="AW20" s="121"/>
      <c r="AX20" s="63"/>
      <c r="AY20" s="63"/>
      <c r="AZ20" s="63"/>
      <c r="BA20" s="63"/>
      <c r="BB20" s="111"/>
      <c r="BC20" s="111"/>
      <c r="BD20" s="118">
        <v>0.01</v>
      </c>
      <c r="BE20" s="113">
        <f t="shared" si="6"/>
        <v>7450000</v>
      </c>
    </row>
    <row r="21" spans="1:57">
      <c r="A21" s="63">
        <v>18</v>
      </c>
      <c r="B21" s="109">
        <v>46122</v>
      </c>
      <c r="C21" s="110">
        <v>1</v>
      </c>
      <c r="D21" s="63" t="s">
        <v>138</v>
      </c>
      <c r="E21" s="63" t="s">
        <v>200</v>
      </c>
      <c r="F21" s="63" t="s">
        <v>390</v>
      </c>
      <c r="G21" s="63" t="s">
        <v>391</v>
      </c>
      <c r="H21" s="63" t="s">
        <v>52</v>
      </c>
      <c r="I21" s="63" t="s">
        <v>114</v>
      </c>
      <c r="J21" s="63"/>
      <c r="K21" s="111" t="s">
        <v>114</v>
      </c>
      <c r="L21" s="63" t="s">
        <v>392</v>
      </c>
      <c r="M21" s="63" t="s">
        <v>107</v>
      </c>
      <c r="N21" s="63"/>
      <c r="O21" s="112">
        <v>0</v>
      </c>
      <c r="P21" s="113">
        <v>749000000</v>
      </c>
      <c r="Q21" s="113">
        <v>44940000</v>
      </c>
      <c r="R21" s="208"/>
      <c r="S21" s="113"/>
      <c r="T21" s="114">
        <v>22470000</v>
      </c>
      <c r="U21" s="115"/>
      <c r="V21" s="116"/>
      <c r="W21" s="116">
        <v>2000000</v>
      </c>
      <c r="X21" s="113">
        <v>679590000</v>
      </c>
      <c r="Y21" s="113">
        <v>679590000</v>
      </c>
      <c r="Z21" s="113">
        <f t="shared" si="4"/>
        <v>0</v>
      </c>
      <c r="AA21" s="113">
        <v>681590000</v>
      </c>
      <c r="AB21" s="113">
        <v>719040000</v>
      </c>
      <c r="AC21" s="63"/>
      <c r="AD21" s="118">
        <v>0.04</v>
      </c>
      <c r="AE21" s="118"/>
      <c r="AF21" s="119">
        <v>0</v>
      </c>
      <c r="AG21" s="63"/>
      <c r="AH21" s="118">
        <v>0.04</v>
      </c>
      <c r="AI21" s="63"/>
      <c r="AJ21" s="63"/>
      <c r="AK21" s="115">
        <f t="shared" si="5"/>
        <v>64713600</v>
      </c>
      <c r="AL21" s="113"/>
      <c r="AM21" s="114">
        <v>0</v>
      </c>
      <c r="AN21" s="113">
        <v>0</v>
      </c>
      <c r="AO21" s="113">
        <v>0</v>
      </c>
      <c r="AP21" s="113">
        <f t="shared" si="2"/>
        <v>0</v>
      </c>
      <c r="AQ21" s="113">
        <f t="shared" si="3"/>
        <v>64713600</v>
      </c>
      <c r="AR21" s="63"/>
      <c r="AS21" s="63"/>
      <c r="AT21" s="63"/>
      <c r="AU21" s="63"/>
      <c r="AV21" s="120" t="s">
        <v>393</v>
      </c>
      <c r="AW21" s="121"/>
      <c r="AX21" s="63"/>
      <c r="AY21" s="63"/>
      <c r="AZ21" s="63"/>
      <c r="BA21" s="63"/>
      <c r="BB21" s="122">
        <v>9514260</v>
      </c>
      <c r="BC21" s="111"/>
      <c r="BD21" s="118">
        <v>0.01</v>
      </c>
      <c r="BE21" s="113">
        <f t="shared" si="6"/>
        <v>6815900</v>
      </c>
    </row>
    <row r="22" spans="1:57">
      <c r="A22" s="63">
        <v>19</v>
      </c>
      <c r="B22" s="109">
        <v>46123</v>
      </c>
      <c r="C22" s="110">
        <v>1</v>
      </c>
      <c r="D22" s="63" t="s">
        <v>138</v>
      </c>
      <c r="E22" s="63" t="s">
        <v>139</v>
      </c>
      <c r="F22" s="63" t="s">
        <v>394</v>
      </c>
      <c r="G22" s="63" t="s">
        <v>395</v>
      </c>
      <c r="H22" s="63" t="s">
        <v>155</v>
      </c>
      <c r="I22" s="63" t="s">
        <v>202</v>
      </c>
      <c r="J22" s="63"/>
      <c r="K22" s="111" t="s">
        <v>102</v>
      </c>
      <c r="L22" s="63" t="s">
        <v>396</v>
      </c>
      <c r="M22" s="63" t="s">
        <v>107</v>
      </c>
      <c r="N22" s="63"/>
      <c r="O22" s="112">
        <v>0</v>
      </c>
      <c r="P22" s="113">
        <v>310000000</v>
      </c>
      <c r="Q22" s="113">
        <v>18600000</v>
      </c>
      <c r="R22" s="208"/>
      <c r="S22" s="113"/>
      <c r="T22" s="114"/>
      <c r="U22" s="115"/>
      <c r="V22" s="116">
        <v>18000000</v>
      </c>
      <c r="W22" s="116">
        <v>4000000</v>
      </c>
      <c r="X22" s="113">
        <v>269400000</v>
      </c>
      <c r="Y22" s="113">
        <v>269400000</v>
      </c>
      <c r="Z22" s="113">
        <f t="shared" si="4"/>
        <v>0</v>
      </c>
      <c r="AA22" s="113">
        <v>273400000</v>
      </c>
      <c r="AB22" s="113">
        <v>297600000</v>
      </c>
      <c r="AC22" s="63"/>
      <c r="AD22" s="118">
        <v>0.04</v>
      </c>
      <c r="AE22" s="118"/>
      <c r="AF22" s="119">
        <v>0</v>
      </c>
      <c r="AG22" s="63"/>
      <c r="AH22" s="118">
        <v>0.04</v>
      </c>
      <c r="AI22" s="63"/>
      <c r="AJ22" s="63"/>
      <c r="AK22" s="115">
        <f t="shared" si="5"/>
        <v>35136000</v>
      </c>
      <c r="AL22" s="113"/>
      <c r="AM22" s="114">
        <v>0</v>
      </c>
      <c r="AN22" s="113">
        <v>0</v>
      </c>
      <c r="AO22" s="113">
        <v>0</v>
      </c>
      <c r="AP22" s="113">
        <f t="shared" si="2"/>
        <v>0</v>
      </c>
      <c r="AQ22" s="113">
        <f t="shared" si="3"/>
        <v>35136000</v>
      </c>
      <c r="AR22" s="63"/>
      <c r="AS22" s="63"/>
      <c r="AT22" s="63"/>
      <c r="AU22" s="63"/>
      <c r="AV22" s="120"/>
      <c r="AW22" s="121"/>
      <c r="AX22" s="63"/>
      <c r="AY22" s="63"/>
      <c r="AZ22" s="63"/>
      <c r="BA22" s="63"/>
      <c r="BB22" s="111"/>
      <c r="BC22" s="111"/>
      <c r="BD22" s="118">
        <v>0.01</v>
      </c>
      <c r="BE22" s="113">
        <f t="shared" si="6"/>
        <v>2734000</v>
      </c>
    </row>
    <row r="23" spans="1:57">
      <c r="A23" s="63">
        <v>20</v>
      </c>
      <c r="B23" s="109">
        <v>46124</v>
      </c>
      <c r="C23" s="110">
        <v>1</v>
      </c>
      <c r="D23" s="63" t="s">
        <v>138</v>
      </c>
      <c r="E23" s="63" t="s">
        <v>186</v>
      </c>
      <c r="F23" s="63" t="s">
        <v>397</v>
      </c>
      <c r="G23" s="63" t="s">
        <v>398</v>
      </c>
      <c r="H23" s="63" t="s">
        <v>155</v>
      </c>
      <c r="I23" s="63" t="s">
        <v>140</v>
      </c>
      <c r="J23" s="63"/>
      <c r="K23" s="111" t="s">
        <v>106</v>
      </c>
      <c r="L23" s="63" t="s">
        <v>399</v>
      </c>
      <c r="M23" s="63" t="s">
        <v>107</v>
      </c>
      <c r="N23" s="63"/>
      <c r="O23" s="112">
        <v>0</v>
      </c>
      <c r="P23" s="113">
        <v>315000000</v>
      </c>
      <c r="Q23" s="113">
        <v>18900000</v>
      </c>
      <c r="R23" s="208"/>
      <c r="S23" s="113"/>
      <c r="T23" s="114">
        <v>9450000</v>
      </c>
      <c r="U23" s="115"/>
      <c r="V23" s="116"/>
      <c r="W23" s="116">
        <v>1000000</v>
      </c>
      <c r="X23" s="113">
        <v>285650000</v>
      </c>
      <c r="Y23" s="113">
        <v>285650000</v>
      </c>
      <c r="Z23" s="113">
        <f t="shared" si="4"/>
        <v>0</v>
      </c>
      <c r="AA23" s="113">
        <v>286650000</v>
      </c>
      <c r="AB23" s="113">
        <v>302400000</v>
      </c>
      <c r="AC23" s="63"/>
      <c r="AD23" s="118">
        <v>0.04</v>
      </c>
      <c r="AE23" s="118"/>
      <c r="AF23" s="119">
        <v>0</v>
      </c>
      <c r="AG23" s="63"/>
      <c r="AH23" s="118">
        <v>0.04</v>
      </c>
      <c r="AI23" s="63"/>
      <c r="AJ23" s="63"/>
      <c r="AK23" s="115">
        <f t="shared" si="5"/>
        <v>27216000</v>
      </c>
      <c r="AL23" s="113"/>
      <c r="AM23" s="114">
        <v>0</v>
      </c>
      <c r="AN23" s="113">
        <v>0</v>
      </c>
      <c r="AO23" s="113">
        <v>0</v>
      </c>
      <c r="AP23" s="113">
        <f t="shared" si="2"/>
        <v>0</v>
      </c>
      <c r="AQ23" s="113">
        <f t="shared" si="3"/>
        <v>27216000</v>
      </c>
      <c r="AR23" s="63"/>
      <c r="AS23" s="63"/>
      <c r="AT23" s="63"/>
      <c r="AU23" s="63"/>
      <c r="AV23" s="120"/>
      <c r="AW23" s="121"/>
      <c r="AX23" s="63"/>
      <c r="AY23" s="63"/>
      <c r="AZ23" s="63"/>
      <c r="BA23" s="63"/>
      <c r="BB23" s="111"/>
      <c r="BC23" s="111"/>
      <c r="BD23" s="118">
        <v>0.01</v>
      </c>
      <c r="BE23" s="113">
        <f t="shared" si="6"/>
        <v>2866500</v>
      </c>
    </row>
    <row r="24" spans="1:57">
      <c r="A24" s="63">
        <v>21</v>
      </c>
      <c r="B24" s="109">
        <v>46125</v>
      </c>
      <c r="C24" s="110">
        <v>1</v>
      </c>
      <c r="D24" s="63" t="s">
        <v>138</v>
      </c>
      <c r="E24" s="63" t="s">
        <v>139</v>
      </c>
      <c r="F24" s="63" t="s">
        <v>400</v>
      </c>
      <c r="G24" s="63" t="s">
        <v>401</v>
      </c>
      <c r="H24" s="64" t="s">
        <v>164</v>
      </c>
      <c r="I24" s="63" t="s">
        <v>202</v>
      </c>
      <c r="J24" s="63"/>
      <c r="K24" s="111" t="s">
        <v>402</v>
      </c>
      <c r="L24" s="63" t="s">
        <v>403</v>
      </c>
      <c r="M24" s="63" t="s">
        <v>107</v>
      </c>
      <c r="N24" s="63"/>
      <c r="O24" s="112">
        <v>0</v>
      </c>
      <c r="P24" s="113">
        <v>811000000</v>
      </c>
      <c r="Q24" s="113">
        <v>48660000</v>
      </c>
      <c r="R24" s="208"/>
      <c r="S24" s="113"/>
      <c r="T24" s="114"/>
      <c r="U24" s="115"/>
      <c r="V24" s="116"/>
      <c r="W24" s="116">
        <v>15000000</v>
      </c>
      <c r="X24" s="113">
        <v>747340000</v>
      </c>
      <c r="Y24" s="113">
        <v>747340000</v>
      </c>
      <c r="Z24" s="113">
        <f t="shared" si="4"/>
        <v>0</v>
      </c>
      <c r="AA24" s="113">
        <v>762340000</v>
      </c>
      <c r="AB24" s="113">
        <v>774505000</v>
      </c>
      <c r="AC24" s="63"/>
      <c r="AD24" s="118">
        <v>4.4999999999999998E-2</v>
      </c>
      <c r="AE24" s="118"/>
      <c r="AF24" s="119">
        <v>0</v>
      </c>
      <c r="AG24" s="63"/>
      <c r="AH24" s="118">
        <v>4.4999999999999998E-2</v>
      </c>
      <c r="AI24" s="63"/>
      <c r="AJ24" s="63"/>
      <c r="AK24" s="115">
        <f t="shared" si="5"/>
        <v>46470300</v>
      </c>
      <c r="AL24" s="113"/>
      <c r="AM24" s="114">
        <v>0</v>
      </c>
      <c r="AN24" s="113">
        <v>0</v>
      </c>
      <c r="AO24" s="113">
        <v>0</v>
      </c>
      <c r="AP24" s="113">
        <f t="shared" si="2"/>
        <v>0</v>
      </c>
      <c r="AQ24" s="113">
        <f t="shared" si="3"/>
        <v>46470300</v>
      </c>
      <c r="AR24" s="63"/>
      <c r="AS24" s="63"/>
      <c r="AT24" s="63"/>
      <c r="AU24" s="63"/>
      <c r="AV24" s="120" t="s">
        <v>404</v>
      </c>
      <c r="AW24" s="121"/>
      <c r="AX24" s="63"/>
      <c r="AY24" s="63"/>
      <c r="AZ24" s="63"/>
      <c r="BA24" s="63"/>
      <c r="BB24" s="111">
        <f>8408000+ 530700</f>
        <v>8938700</v>
      </c>
      <c r="BC24" s="111"/>
      <c r="BD24" s="118">
        <v>0.01</v>
      </c>
      <c r="BE24" s="113">
        <f t="shared" si="6"/>
        <v>7623400</v>
      </c>
    </row>
    <row r="25" spans="1:57">
      <c r="A25" s="63">
        <v>22</v>
      </c>
      <c r="B25" s="109">
        <v>46126</v>
      </c>
      <c r="C25" s="110">
        <v>1</v>
      </c>
      <c r="D25" s="63" t="s">
        <v>104</v>
      </c>
      <c r="E25" s="63" t="s">
        <v>21</v>
      </c>
      <c r="F25" s="63" t="s">
        <v>405</v>
      </c>
      <c r="G25" s="63" t="s">
        <v>406</v>
      </c>
      <c r="H25" s="63" t="s">
        <v>117</v>
      </c>
      <c r="I25" s="63" t="s">
        <v>117</v>
      </c>
      <c r="J25" s="63"/>
      <c r="K25" s="111" t="s">
        <v>117</v>
      </c>
      <c r="L25" s="112" t="s">
        <v>407</v>
      </c>
      <c r="M25" s="63" t="s">
        <v>120</v>
      </c>
      <c r="N25" s="63"/>
      <c r="O25" s="112">
        <v>0</v>
      </c>
      <c r="P25" s="113">
        <v>819000000</v>
      </c>
      <c r="Q25" s="113"/>
      <c r="R25" s="208">
        <v>7.0000000000000007E-2</v>
      </c>
      <c r="S25" s="113"/>
      <c r="T25" s="114"/>
      <c r="U25" s="115"/>
      <c r="V25" s="116"/>
      <c r="W25" s="113"/>
      <c r="X25" s="113">
        <v>819000000</v>
      </c>
      <c r="Y25" s="113">
        <v>819000000</v>
      </c>
      <c r="Z25" s="113">
        <f t="shared" si="4"/>
        <v>0</v>
      </c>
      <c r="AA25" s="113">
        <v>819000000</v>
      </c>
      <c r="AB25" s="113">
        <v>786240000</v>
      </c>
      <c r="AC25" s="63"/>
      <c r="AD25" s="118">
        <v>0.04</v>
      </c>
      <c r="AE25" s="118"/>
      <c r="AF25" s="119">
        <v>0</v>
      </c>
      <c r="AG25" s="63"/>
      <c r="AH25" s="118">
        <v>0.04</v>
      </c>
      <c r="AI25" s="63"/>
      <c r="AJ25" s="63"/>
      <c r="AK25" s="115">
        <f t="shared" si="5"/>
        <v>0</v>
      </c>
      <c r="AL25" s="113"/>
      <c r="AM25" s="114">
        <v>0</v>
      </c>
      <c r="AN25" s="113">
        <v>15000000</v>
      </c>
      <c r="AO25" s="113">
        <v>0</v>
      </c>
      <c r="AP25" s="113">
        <f t="shared" si="2"/>
        <v>0</v>
      </c>
      <c r="AQ25" s="113">
        <f t="shared" si="3"/>
        <v>15000000</v>
      </c>
      <c r="AR25" s="63"/>
      <c r="AS25" s="63"/>
      <c r="AT25" s="63"/>
      <c r="AU25" s="63"/>
      <c r="AV25" s="120" t="s">
        <v>408</v>
      </c>
      <c r="AW25" s="121"/>
      <c r="AX25" s="63"/>
      <c r="AY25" s="63"/>
      <c r="AZ25" s="63"/>
      <c r="BA25" s="63"/>
      <c r="BB25" s="122">
        <v>8190000</v>
      </c>
      <c r="BC25" s="111"/>
      <c r="BD25" s="123"/>
      <c r="BE25" s="113"/>
    </row>
    <row r="26" spans="1:57">
      <c r="A26" s="63">
        <v>23</v>
      </c>
      <c r="B26" s="109">
        <v>46127</v>
      </c>
      <c r="C26" s="110">
        <v>4</v>
      </c>
      <c r="D26" s="63" t="s">
        <v>112</v>
      </c>
      <c r="E26" s="63" t="s">
        <v>116</v>
      </c>
      <c r="F26" s="63" t="s">
        <v>409</v>
      </c>
      <c r="G26" s="63" t="s">
        <v>410</v>
      </c>
      <c r="H26" s="63" t="s">
        <v>155</v>
      </c>
      <c r="I26" s="63" t="s">
        <v>199</v>
      </c>
      <c r="J26" s="63"/>
      <c r="K26" s="111" t="s">
        <v>411</v>
      </c>
      <c r="L26" s="63" t="s">
        <v>412</v>
      </c>
      <c r="M26" s="63" t="s">
        <v>103</v>
      </c>
      <c r="N26" s="63"/>
      <c r="O26" s="112">
        <v>46122</v>
      </c>
      <c r="P26" s="113">
        <v>299000000</v>
      </c>
      <c r="Q26" s="113">
        <v>17940000</v>
      </c>
      <c r="R26" s="208"/>
      <c r="S26" s="113"/>
      <c r="T26" s="114"/>
      <c r="U26" s="115"/>
      <c r="V26" s="145">
        <v>13000000</v>
      </c>
      <c r="W26" s="113"/>
      <c r="X26" s="113">
        <v>268060000</v>
      </c>
      <c r="Y26" s="113">
        <v>268060000</v>
      </c>
      <c r="Z26" s="113">
        <f t="shared" si="4"/>
        <v>0</v>
      </c>
      <c r="AA26" s="113">
        <v>268060000</v>
      </c>
      <c r="AB26" s="113">
        <v>290030000</v>
      </c>
      <c r="AC26" s="63"/>
      <c r="AD26" s="118">
        <v>0.04</v>
      </c>
      <c r="AE26" s="118"/>
      <c r="AF26" s="119">
        <v>0</v>
      </c>
      <c r="AG26" s="63"/>
      <c r="AH26" s="118">
        <v>0.04</v>
      </c>
      <c r="AI26" s="63"/>
      <c r="AJ26" s="63"/>
      <c r="AK26" s="115">
        <f t="shared" si="5"/>
        <v>32692400</v>
      </c>
      <c r="AL26" s="113"/>
      <c r="AM26" s="114">
        <v>0</v>
      </c>
      <c r="AN26" s="113">
        <v>0</v>
      </c>
      <c r="AO26" s="113">
        <v>0</v>
      </c>
      <c r="AP26" s="113">
        <f t="shared" si="2"/>
        <v>0</v>
      </c>
      <c r="AQ26" s="113">
        <f t="shared" si="3"/>
        <v>32692400</v>
      </c>
      <c r="AR26" s="63"/>
      <c r="AS26" s="63"/>
      <c r="AT26" s="63"/>
      <c r="AU26" s="63"/>
      <c r="AV26" s="140" t="s">
        <v>368</v>
      </c>
      <c r="AW26" s="140" t="s">
        <v>413</v>
      </c>
      <c r="AX26" s="63"/>
      <c r="AY26" s="63"/>
      <c r="AZ26" s="63"/>
      <c r="BA26" s="142"/>
      <c r="BB26" s="111"/>
      <c r="BC26" s="111"/>
      <c r="BD26" s="123">
        <v>0.01</v>
      </c>
      <c r="BE26" s="113">
        <f>BD26*AA26</f>
        <v>2680600</v>
      </c>
    </row>
    <row r="27" spans="1:57">
      <c r="A27" s="63">
        <v>24</v>
      </c>
      <c r="B27" s="109">
        <v>46127</v>
      </c>
      <c r="C27" s="110">
        <v>4</v>
      </c>
      <c r="D27" s="63" t="s">
        <v>100</v>
      </c>
      <c r="E27" s="63" t="s">
        <v>279</v>
      </c>
      <c r="F27" s="63" t="s">
        <v>414</v>
      </c>
      <c r="G27" s="63" t="s">
        <v>415</v>
      </c>
      <c r="H27" s="63" t="s">
        <v>167</v>
      </c>
      <c r="I27" s="63" t="s">
        <v>105</v>
      </c>
      <c r="J27" s="63"/>
      <c r="K27" s="111" t="s">
        <v>119</v>
      </c>
      <c r="L27" s="63" t="s">
        <v>416</v>
      </c>
      <c r="M27" s="63" t="s">
        <v>120</v>
      </c>
      <c r="N27" s="63"/>
      <c r="O27" s="112">
        <v>46123</v>
      </c>
      <c r="P27" s="113">
        <v>529000000</v>
      </c>
      <c r="Q27" s="113">
        <v>31740000</v>
      </c>
      <c r="R27" s="208"/>
      <c r="S27" s="113"/>
      <c r="T27" s="114"/>
      <c r="U27" s="115"/>
      <c r="V27" s="116"/>
      <c r="W27" s="116">
        <v>10000000</v>
      </c>
      <c r="X27" s="113">
        <v>487260000</v>
      </c>
      <c r="Y27" s="113">
        <v>487260000</v>
      </c>
      <c r="Z27" s="113">
        <f t="shared" si="4"/>
        <v>0</v>
      </c>
      <c r="AA27" s="113">
        <v>497260000</v>
      </c>
      <c r="AB27" s="113">
        <v>507840000</v>
      </c>
      <c r="AC27" s="63"/>
      <c r="AD27" s="118">
        <v>0.04</v>
      </c>
      <c r="AE27" s="118"/>
      <c r="AF27" s="119">
        <v>0</v>
      </c>
      <c r="AG27" s="63"/>
      <c r="AH27" s="118">
        <v>0.04</v>
      </c>
      <c r="AI27" s="63"/>
      <c r="AJ27" s="63"/>
      <c r="AK27" s="115">
        <f t="shared" si="5"/>
        <v>30470400</v>
      </c>
      <c r="AL27" s="113"/>
      <c r="AM27" s="114">
        <v>0</v>
      </c>
      <c r="AN27" s="113">
        <v>0</v>
      </c>
      <c r="AO27" s="113">
        <v>0</v>
      </c>
      <c r="AP27" s="113">
        <f t="shared" si="2"/>
        <v>0</v>
      </c>
      <c r="AQ27" s="113">
        <f t="shared" si="3"/>
        <v>30470400</v>
      </c>
      <c r="AR27" s="63"/>
      <c r="AS27" s="63"/>
      <c r="AT27" s="63"/>
      <c r="AU27" s="63"/>
      <c r="AV27" s="120"/>
      <c r="AW27" s="121"/>
      <c r="AX27" s="63"/>
      <c r="AY27" s="63"/>
      <c r="AZ27" s="63"/>
      <c r="BA27" s="63"/>
      <c r="BB27" s="111"/>
      <c r="BC27" s="111"/>
      <c r="BD27" s="123"/>
      <c r="BE27" s="113"/>
    </row>
    <row r="28" spans="1:57">
      <c r="A28" s="63">
        <v>25</v>
      </c>
      <c r="B28" s="109">
        <v>46127</v>
      </c>
      <c r="C28" s="110">
        <v>4</v>
      </c>
      <c r="D28" s="63" t="s">
        <v>100</v>
      </c>
      <c r="E28" s="63" t="s">
        <v>101</v>
      </c>
      <c r="F28" s="63" t="s">
        <v>417</v>
      </c>
      <c r="G28" s="63" t="s">
        <v>418</v>
      </c>
      <c r="H28" s="63" t="s">
        <v>155</v>
      </c>
      <c r="I28" s="63" t="s">
        <v>105</v>
      </c>
      <c r="J28" s="63"/>
      <c r="K28" s="111" t="s">
        <v>106</v>
      </c>
      <c r="L28" s="63" t="s">
        <v>419</v>
      </c>
      <c r="M28" s="63" t="s">
        <v>120</v>
      </c>
      <c r="N28" s="63"/>
      <c r="O28" s="112">
        <v>46123</v>
      </c>
      <c r="P28" s="113">
        <v>315000000</v>
      </c>
      <c r="Q28" s="113">
        <v>18900000</v>
      </c>
      <c r="R28" s="208"/>
      <c r="S28" s="113"/>
      <c r="T28" s="114"/>
      <c r="U28" s="115"/>
      <c r="V28" s="116"/>
      <c r="W28" s="113"/>
      <c r="X28" s="113">
        <v>296100000</v>
      </c>
      <c r="Y28" s="113">
        <v>296100000</v>
      </c>
      <c r="Z28" s="113">
        <f t="shared" si="4"/>
        <v>0</v>
      </c>
      <c r="AA28" s="113">
        <v>296100000</v>
      </c>
      <c r="AB28" s="113">
        <v>302400000</v>
      </c>
      <c r="AC28" s="63"/>
      <c r="AD28" s="118">
        <v>0.04</v>
      </c>
      <c r="AE28" s="118"/>
      <c r="AF28" s="119">
        <v>0</v>
      </c>
      <c r="AG28" s="63"/>
      <c r="AH28" s="118">
        <v>0.04</v>
      </c>
      <c r="AI28" s="63"/>
      <c r="AJ28" s="63"/>
      <c r="AK28" s="115">
        <f t="shared" si="5"/>
        <v>18144000</v>
      </c>
      <c r="AL28" s="113"/>
      <c r="AM28" s="114">
        <v>0</v>
      </c>
      <c r="AN28" s="113">
        <v>0</v>
      </c>
      <c r="AO28" s="113">
        <v>0</v>
      </c>
      <c r="AP28" s="113">
        <f t="shared" si="2"/>
        <v>0</v>
      </c>
      <c r="AQ28" s="113">
        <f t="shared" si="3"/>
        <v>18144000</v>
      </c>
      <c r="AR28" s="63"/>
      <c r="AS28" s="63"/>
      <c r="AT28" s="63"/>
      <c r="AU28" s="63"/>
      <c r="AV28" s="120" t="s">
        <v>336</v>
      </c>
      <c r="AW28" s="121"/>
      <c r="AX28" s="63"/>
      <c r="AY28" s="63"/>
      <c r="AZ28" s="63"/>
      <c r="BA28" s="63"/>
      <c r="BB28" s="111"/>
      <c r="BC28" s="111"/>
      <c r="BD28" s="123"/>
      <c r="BE28" s="113"/>
    </row>
    <row r="29" spans="1:57">
      <c r="A29" s="63">
        <v>26</v>
      </c>
      <c r="B29" s="109">
        <v>46127</v>
      </c>
      <c r="C29" s="110">
        <v>1</v>
      </c>
      <c r="D29" s="63" t="s">
        <v>104</v>
      </c>
      <c r="E29" s="63" t="s">
        <v>128</v>
      </c>
      <c r="F29" s="63" t="s">
        <v>420</v>
      </c>
      <c r="G29" s="63" t="s">
        <v>421</v>
      </c>
      <c r="H29" s="63" t="s">
        <v>52</v>
      </c>
      <c r="I29" s="63" t="s">
        <v>114</v>
      </c>
      <c r="J29" s="63"/>
      <c r="K29" s="111" t="s">
        <v>114</v>
      </c>
      <c r="L29" s="112" t="s">
        <v>422</v>
      </c>
      <c r="M29" s="63" t="s">
        <v>107</v>
      </c>
      <c r="N29" s="63"/>
      <c r="O29" s="112">
        <v>0</v>
      </c>
      <c r="P29" s="113">
        <v>749000000</v>
      </c>
      <c r="Q29" s="113">
        <v>44940000</v>
      </c>
      <c r="R29" s="208"/>
      <c r="S29" s="113"/>
      <c r="T29" s="114"/>
      <c r="U29" s="115"/>
      <c r="V29" s="116"/>
      <c r="W29" s="116">
        <v>12000000</v>
      </c>
      <c r="X29" s="113">
        <v>692060000</v>
      </c>
      <c r="Y29" s="113">
        <v>692060000</v>
      </c>
      <c r="Z29" s="113">
        <f t="shared" si="4"/>
        <v>0</v>
      </c>
      <c r="AA29" s="113">
        <v>704060000</v>
      </c>
      <c r="AB29" s="113">
        <v>719040000</v>
      </c>
      <c r="AC29" s="63"/>
      <c r="AD29" s="118">
        <v>0.04</v>
      </c>
      <c r="AE29" s="118"/>
      <c r="AF29" s="119">
        <v>0</v>
      </c>
      <c r="AG29" s="63"/>
      <c r="AH29" s="118">
        <v>0.04</v>
      </c>
      <c r="AI29" s="63"/>
      <c r="AJ29" s="63"/>
      <c r="AK29" s="115">
        <f t="shared" si="5"/>
        <v>43142400</v>
      </c>
      <c r="AL29" s="113"/>
      <c r="AM29" s="114">
        <v>0</v>
      </c>
      <c r="AN29" s="113">
        <v>0</v>
      </c>
      <c r="AO29" s="113">
        <v>0</v>
      </c>
      <c r="AP29" s="113">
        <f t="shared" si="2"/>
        <v>0</v>
      </c>
      <c r="AQ29" s="113">
        <f t="shared" si="3"/>
        <v>43142400</v>
      </c>
      <c r="AR29" s="63"/>
      <c r="AS29" s="63"/>
      <c r="AT29" s="63"/>
      <c r="AU29" s="63"/>
      <c r="AV29" s="120" t="s">
        <v>423</v>
      </c>
      <c r="AW29" s="121"/>
      <c r="AX29" s="63"/>
      <c r="AY29" s="63"/>
      <c r="AZ29" s="63"/>
      <c r="BA29" s="63"/>
      <c r="BB29" s="111">
        <f>9688840+1198000</f>
        <v>10886840</v>
      </c>
      <c r="BC29" s="111"/>
      <c r="BD29" s="118">
        <v>0.01</v>
      </c>
      <c r="BE29" s="113">
        <f>BD29*AA29</f>
        <v>7040600</v>
      </c>
    </row>
    <row r="30" spans="1:57">
      <c r="A30" s="63">
        <v>27</v>
      </c>
      <c r="B30" s="124">
        <v>46127</v>
      </c>
      <c r="C30" s="125">
        <v>1</v>
      </c>
      <c r="D30" s="64" t="s">
        <v>104</v>
      </c>
      <c r="E30" s="64" t="s">
        <v>131</v>
      </c>
      <c r="F30" s="64" t="s">
        <v>424</v>
      </c>
      <c r="G30" s="64" t="s">
        <v>425</v>
      </c>
      <c r="H30" s="63" t="s">
        <v>173</v>
      </c>
      <c r="I30" s="64" t="s">
        <v>105</v>
      </c>
      <c r="J30" s="64"/>
      <c r="K30" s="126" t="s">
        <v>161</v>
      </c>
      <c r="L30" s="146" t="s">
        <v>426</v>
      </c>
      <c r="M30" s="64" t="s">
        <v>107</v>
      </c>
      <c r="N30" s="64"/>
      <c r="O30" s="127">
        <v>0</v>
      </c>
      <c r="P30" s="128">
        <v>745000000</v>
      </c>
      <c r="Q30" s="128">
        <v>44700000</v>
      </c>
      <c r="R30" s="209"/>
      <c r="S30" s="128"/>
      <c r="T30" s="129"/>
      <c r="U30" s="128"/>
      <c r="V30" s="130"/>
      <c r="W30" s="130">
        <v>5000000</v>
      </c>
      <c r="X30" s="128">
        <v>695300000</v>
      </c>
      <c r="Y30" s="128">
        <v>695300000</v>
      </c>
      <c r="Z30" s="113">
        <f t="shared" si="4"/>
        <v>0</v>
      </c>
      <c r="AA30" s="128">
        <v>700300000</v>
      </c>
      <c r="AB30" s="113">
        <v>715200000</v>
      </c>
      <c r="AC30" s="64"/>
      <c r="AD30" s="132">
        <v>0.04</v>
      </c>
      <c r="AE30" s="132"/>
      <c r="AF30" s="133">
        <v>0</v>
      </c>
      <c r="AG30" s="64"/>
      <c r="AH30" s="132">
        <v>0.04</v>
      </c>
      <c r="AI30" s="64"/>
      <c r="AJ30" s="64"/>
      <c r="AK30" s="128">
        <f t="shared" si="5"/>
        <v>42912000</v>
      </c>
      <c r="AL30" s="128"/>
      <c r="AM30" s="114">
        <v>0</v>
      </c>
      <c r="AN30" s="113">
        <v>0</v>
      </c>
      <c r="AO30" s="113">
        <v>10000000</v>
      </c>
      <c r="AP30" s="113">
        <f t="shared" si="2"/>
        <v>5000000</v>
      </c>
      <c r="AQ30" s="113">
        <f t="shared" si="3"/>
        <v>47912000</v>
      </c>
      <c r="AR30" s="64"/>
      <c r="AS30" s="64"/>
      <c r="AT30" s="64"/>
      <c r="AU30" s="64"/>
      <c r="AV30" s="134"/>
      <c r="AW30" s="135"/>
      <c r="AX30" s="64"/>
      <c r="AY30" s="64"/>
      <c r="AZ30" s="64"/>
      <c r="BA30" s="64"/>
      <c r="BB30" s="126"/>
      <c r="BC30" s="126"/>
      <c r="BD30" s="118">
        <v>0.01</v>
      </c>
      <c r="BE30" s="113">
        <f>BD30*AA30</f>
        <v>7003000</v>
      </c>
    </row>
    <row r="31" spans="1:57">
      <c r="A31" s="63">
        <v>28</v>
      </c>
      <c r="B31" s="124">
        <v>46127</v>
      </c>
      <c r="C31" s="125">
        <v>1</v>
      </c>
      <c r="D31" s="64" t="s">
        <v>104</v>
      </c>
      <c r="E31" s="64" t="s">
        <v>427</v>
      </c>
      <c r="F31" s="64" t="s">
        <v>428</v>
      </c>
      <c r="G31" s="64" t="s">
        <v>429</v>
      </c>
      <c r="H31" s="63" t="s">
        <v>52</v>
      </c>
      <c r="I31" s="64" t="s">
        <v>114</v>
      </c>
      <c r="J31" s="64"/>
      <c r="K31" s="126" t="s">
        <v>114</v>
      </c>
      <c r="L31" s="64" t="s">
        <v>430</v>
      </c>
      <c r="M31" s="64" t="s">
        <v>107</v>
      </c>
      <c r="N31" s="64"/>
      <c r="O31" s="127">
        <v>0</v>
      </c>
      <c r="P31" s="128">
        <v>749000000</v>
      </c>
      <c r="Q31" s="128">
        <v>44940000</v>
      </c>
      <c r="R31" s="209"/>
      <c r="S31" s="128"/>
      <c r="T31" s="129"/>
      <c r="U31" s="128"/>
      <c r="V31" s="130"/>
      <c r="W31" s="130">
        <v>8000000</v>
      </c>
      <c r="X31" s="128">
        <v>696060000</v>
      </c>
      <c r="Y31" s="128">
        <v>696060000</v>
      </c>
      <c r="Z31" s="113">
        <f t="shared" si="4"/>
        <v>0</v>
      </c>
      <c r="AA31" s="128">
        <v>704060000</v>
      </c>
      <c r="AB31" s="113">
        <v>719040000</v>
      </c>
      <c r="AC31" s="64"/>
      <c r="AD31" s="132">
        <v>0.04</v>
      </c>
      <c r="AE31" s="132"/>
      <c r="AF31" s="133">
        <v>0</v>
      </c>
      <c r="AG31" s="64"/>
      <c r="AH31" s="132">
        <v>0.04</v>
      </c>
      <c r="AI31" s="64"/>
      <c r="AJ31" s="64"/>
      <c r="AK31" s="128">
        <f t="shared" si="5"/>
        <v>43142400</v>
      </c>
      <c r="AL31" s="128"/>
      <c r="AM31" s="114">
        <v>0</v>
      </c>
      <c r="AN31" s="113">
        <v>0</v>
      </c>
      <c r="AO31" s="113">
        <v>0</v>
      </c>
      <c r="AP31" s="113">
        <f t="shared" si="2"/>
        <v>0</v>
      </c>
      <c r="AQ31" s="113">
        <f t="shared" si="3"/>
        <v>43142400</v>
      </c>
      <c r="AR31" s="64"/>
      <c r="AS31" s="64"/>
      <c r="AT31" s="64"/>
      <c r="AU31" s="64"/>
      <c r="AV31" s="120" t="s">
        <v>431</v>
      </c>
      <c r="AW31" s="135"/>
      <c r="AX31" s="64"/>
      <c r="AY31" s="64"/>
      <c r="AZ31" s="64"/>
      <c r="BA31" s="64"/>
      <c r="BB31" s="122">
        <v>6960600</v>
      </c>
      <c r="BC31" s="126"/>
      <c r="BD31" s="118">
        <v>0.01</v>
      </c>
      <c r="BE31" s="113">
        <f>BD31*AA31</f>
        <v>7040600</v>
      </c>
    </row>
    <row r="32" spans="1:57">
      <c r="A32" s="63">
        <v>29</v>
      </c>
      <c r="B32" s="124">
        <v>46127</v>
      </c>
      <c r="C32" s="125">
        <v>1</v>
      </c>
      <c r="D32" s="64" t="s">
        <v>104</v>
      </c>
      <c r="E32" s="64" t="s">
        <v>170</v>
      </c>
      <c r="F32" s="64" t="s">
        <v>432</v>
      </c>
      <c r="G32" s="64" t="s">
        <v>433</v>
      </c>
      <c r="H32" s="63" t="s">
        <v>167</v>
      </c>
      <c r="I32" s="64" t="s">
        <v>105</v>
      </c>
      <c r="J32" s="64"/>
      <c r="K32" s="126" t="s">
        <v>119</v>
      </c>
      <c r="L32" s="146" t="s">
        <v>434</v>
      </c>
      <c r="M32" s="64" t="s">
        <v>107</v>
      </c>
      <c r="N32" s="64"/>
      <c r="O32" s="127">
        <v>0</v>
      </c>
      <c r="P32" s="128">
        <v>529000000</v>
      </c>
      <c r="Q32" s="128">
        <v>31740000</v>
      </c>
      <c r="R32" s="209"/>
      <c r="S32" s="128"/>
      <c r="T32" s="129"/>
      <c r="U32" s="128"/>
      <c r="V32" s="130"/>
      <c r="W32" s="128"/>
      <c r="X32" s="128">
        <v>497260000</v>
      </c>
      <c r="Y32" s="128">
        <v>497260000</v>
      </c>
      <c r="Z32" s="113">
        <f t="shared" si="4"/>
        <v>0</v>
      </c>
      <c r="AA32" s="128">
        <v>497260000</v>
      </c>
      <c r="AB32" s="113">
        <v>507840000</v>
      </c>
      <c r="AC32" s="64"/>
      <c r="AD32" s="132">
        <v>0.04</v>
      </c>
      <c r="AE32" s="132"/>
      <c r="AF32" s="133">
        <v>0</v>
      </c>
      <c r="AG32" s="64"/>
      <c r="AH32" s="132">
        <v>0.04</v>
      </c>
      <c r="AI32" s="64"/>
      <c r="AJ32" s="64"/>
      <c r="AK32" s="128">
        <f t="shared" si="5"/>
        <v>30470400</v>
      </c>
      <c r="AL32" s="128"/>
      <c r="AM32" s="114">
        <v>0</v>
      </c>
      <c r="AN32" s="113">
        <v>0</v>
      </c>
      <c r="AO32" s="113">
        <v>7000000</v>
      </c>
      <c r="AP32" s="113">
        <f t="shared" si="2"/>
        <v>3500000</v>
      </c>
      <c r="AQ32" s="113">
        <f t="shared" si="3"/>
        <v>33970400</v>
      </c>
      <c r="AR32" s="64"/>
      <c r="AS32" s="64"/>
      <c r="AT32" s="64"/>
      <c r="AU32" s="64"/>
      <c r="AV32" s="134"/>
      <c r="AW32" s="135"/>
      <c r="AX32" s="64"/>
      <c r="AY32" s="64"/>
      <c r="AZ32" s="64"/>
      <c r="BA32" s="64"/>
      <c r="BB32" s="126"/>
      <c r="BC32" s="126"/>
      <c r="BD32" s="118">
        <v>0.01</v>
      </c>
      <c r="BE32" s="113">
        <f>BD32*AA32</f>
        <v>4972600</v>
      </c>
    </row>
    <row r="33" spans="1:57">
      <c r="A33" s="63">
        <v>30</v>
      </c>
      <c r="B33" s="109">
        <v>46127</v>
      </c>
      <c r="C33" s="110">
        <v>4</v>
      </c>
      <c r="D33" s="63" t="s">
        <v>100</v>
      </c>
      <c r="E33" s="63" t="s">
        <v>279</v>
      </c>
      <c r="F33" s="63" t="s">
        <v>435</v>
      </c>
      <c r="G33" s="63" t="s">
        <v>436</v>
      </c>
      <c r="H33" s="63" t="s">
        <v>155</v>
      </c>
      <c r="I33" s="63" t="s">
        <v>162</v>
      </c>
      <c r="J33" s="63"/>
      <c r="K33" s="111" t="s">
        <v>102</v>
      </c>
      <c r="L33" s="63" t="s">
        <v>437</v>
      </c>
      <c r="M33" s="63" t="s">
        <v>123</v>
      </c>
      <c r="N33" s="63"/>
      <c r="O33" s="112">
        <v>46127</v>
      </c>
      <c r="P33" s="113">
        <v>310000000</v>
      </c>
      <c r="Q33" s="113">
        <v>18600000</v>
      </c>
      <c r="R33" s="208"/>
      <c r="S33" s="113"/>
      <c r="T33" s="114">
        <v>9300000</v>
      </c>
      <c r="U33" s="115"/>
      <c r="V33" s="116">
        <v>18000000</v>
      </c>
      <c r="W33" s="116">
        <v>4100000</v>
      </c>
      <c r="X33" s="113">
        <v>260000000</v>
      </c>
      <c r="Y33" s="113">
        <v>260000000</v>
      </c>
      <c r="Z33" s="113">
        <f t="shared" si="4"/>
        <v>0</v>
      </c>
      <c r="AA33" s="113">
        <v>264100000</v>
      </c>
      <c r="AB33" s="113">
        <v>297600000</v>
      </c>
      <c r="AC33" s="63"/>
      <c r="AD33" s="118">
        <v>0.04</v>
      </c>
      <c r="AE33" s="118"/>
      <c r="AF33" s="119">
        <v>0</v>
      </c>
      <c r="AG33" s="63"/>
      <c r="AH33" s="118">
        <v>0.04</v>
      </c>
      <c r="AI33" s="63"/>
      <c r="AJ33" s="63"/>
      <c r="AK33" s="115">
        <f t="shared" si="5"/>
        <v>44064000</v>
      </c>
      <c r="AL33" s="113"/>
      <c r="AM33" s="114">
        <v>0</v>
      </c>
      <c r="AN33" s="113">
        <v>0</v>
      </c>
      <c r="AO33" s="113">
        <v>0</v>
      </c>
      <c r="AP33" s="113">
        <f t="shared" si="2"/>
        <v>0</v>
      </c>
      <c r="AQ33" s="113">
        <f t="shared" si="3"/>
        <v>44064000</v>
      </c>
      <c r="AR33" s="63"/>
      <c r="AS33" s="63"/>
      <c r="AT33" s="63"/>
      <c r="AU33" s="63"/>
      <c r="AV33" s="120"/>
      <c r="AW33" s="121"/>
      <c r="AX33" s="63"/>
      <c r="AY33" s="63"/>
      <c r="AZ33" s="63"/>
      <c r="BA33" s="63"/>
      <c r="BB33" s="111"/>
      <c r="BC33" s="111"/>
      <c r="BD33" s="123"/>
      <c r="BE33" s="113"/>
    </row>
    <row r="34" spans="1:57">
      <c r="A34" s="63">
        <v>31</v>
      </c>
      <c r="B34" s="109">
        <v>46127</v>
      </c>
      <c r="C34" s="110">
        <v>4</v>
      </c>
      <c r="D34" s="63" t="s">
        <v>100</v>
      </c>
      <c r="E34" s="63" t="s">
        <v>118</v>
      </c>
      <c r="F34" s="63" t="s">
        <v>438</v>
      </c>
      <c r="G34" s="63" t="s">
        <v>439</v>
      </c>
      <c r="H34" s="63" t="s">
        <v>155</v>
      </c>
      <c r="I34" s="63" t="s">
        <v>162</v>
      </c>
      <c r="J34" s="63"/>
      <c r="K34" s="111" t="s">
        <v>108</v>
      </c>
      <c r="L34" s="63" t="s">
        <v>440</v>
      </c>
      <c r="M34" s="63" t="s">
        <v>120</v>
      </c>
      <c r="N34" s="63"/>
      <c r="O34" s="112">
        <v>46126</v>
      </c>
      <c r="P34" s="113">
        <v>302000000</v>
      </c>
      <c r="Q34" s="113">
        <v>18120000</v>
      </c>
      <c r="R34" s="208"/>
      <c r="S34" s="113"/>
      <c r="T34" s="114"/>
      <c r="U34" s="115"/>
      <c r="V34" s="116"/>
      <c r="W34" s="113"/>
      <c r="X34" s="113">
        <v>283880000</v>
      </c>
      <c r="Y34" s="113">
        <v>283880000</v>
      </c>
      <c r="Z34" s="113">
        <f t="shared" si="4"/>
        <v>0</v>
      </c>
      <c r="AA34" s="113">
        <v>283880000</v>
      </c>
      <c r="AB34" s="113">
        <v>289920000</v>
      </c>
      <c r="AC34" s="63"/>
      <c r="AD34" s="118">
        <v>0.04</v>
      </c>
      <c r="AE34" s="118"/>
      <c r="AF34" s="119">
        <v>0</v>
      </c>
      <c r="AG34" s="63"/>
      <c r="AH34" s="118">
        <v>0.04</v>
      </c>
      <c r="AI34" s="63"/>
      <c r="AJ34" s="63"/>
      <c r="AK34" s="115">
        <f t="shared" si="5"/>
        <v>17395200</v>
      </c>
      <c r="AL34" s="113"/>
      <c r="AM34" s="114">
        <v>0</v>
      </c>
      <c r="AN34" s="113">
        <v>0</v>
      </c>
      <c r="AO34" s="113">
        <v>0</v>
      </c>
      <c r="AP34" s="113">
        <f t="shared" si="2"/>
        <v>0</v>
      </c>
      <c r="AQ34" s="113">
        <f t="shared" si="3"/>
        <v>17395200</v>
      </c>
      <c r="AR34" s="63"/>
      <c r="AS34" s="63"/>
      <c r="AT34" s="63"/>
      <c r="AU34" s="63"/>
      <c r="AV34" s="120" t="s">
        <v>336</v>
      </c>
      <c r="AW34" s="121"/>
      <c r="AX34" s="63"/>
      <c r="AY34" s="63"/>
      <c r="AZ34" s="63"/>
      <c r="BA34" s="63"/>
      <c r="BB34" s="111"/>
      <c r="BC34" s="111"/>
      <c r="BD34" s="123"/>
      <c r="BE34" s="113"/>
    </row>
    <row r="35" spans="1:57">
      <c r="A35" s="63">
        <v>32</v>
      </c>
      <c r="B35" s="109">
        <v>46127</v>
      </c>
      <c r="C35" s="110">
        <v>4</v>
      </c>
      <c r="D35" s="63" t="s">
        <v>100</v>
      </c>
      <c r="E35" s="63" t="s">
        <v>156</v>
      </c>
      <c r="F35" s="63" t="s">
        <v>441</v>
      </c>
      <c r="G35" s="63" t="s">
        <v>442</v>
      </c>
      <c r="H35" s="63" t="s">
        <v>117</v>
      </c>
      <c r="I35" s="63" t="s">
        <v>105</v>
      </c>
      <c r="J35" s="63"/>
      <c r="K35" s="111" t="s">
        <v>117</v>
      </c>
      <c r="L35" s="63" t="s">
        <v>443</v>
      </c>
      <c r="M35" s="63" t="s">
        <v>120</v>
      </c>
      <c r="N35" s="63"/>
      <c r="O35" s="112">
        <v>46127</v>
      </c>
      <c r="P35" s="113">
        <v>819000000</v>
      </c>
      <c r="Q35" s="113">
        <v>49140000</v>
      </c>
      <c r="R35" s="208"/>
      <c r="S35" s="113"/>
      <c r="T35" s="114">
        <v>24570000</v>
      </c>
      <c r="U35" s="115"/>
      <c r="V35" s="116"/>
      <c r="W35" s="113"/>
      <c r="X35" s="113">
        <v>745290000</v>
      </c>
      <c r="Y35" s="113">
        <v>745290000</v>
      </c>
      <c r="Z35" s="113">
        <f t="shared" si="4"/>
        <v>0</v>
      </c>
      <c r="AA35" s="113">
        <v>745290000</v>
      </c>
      <c r="AB35" s="113">
        <v>786240000</v>
      </c>
      <c r="AC35" s="63"/>
      <c r="AD35" s="118">
        <v>0.04</v>
      </c>
      <c r="AE35" s="118"/>
      <c r="AF35" s="119">
        <v>0</v>
      </c>
      <c r="AG35" s="63"/>
      <c r="AH35" s="118">
        <v>0.04</v>
      </c>
      <c r="AI35" s="63"/>
      <c r="AJ35" s="63"/>
      <c r="AK35" s="115">
        <f t="shared" si="5"/>
        <v>70761600</v>
      </c>
      <c r="AL35" s="113"/>
      <c r="AM35" s="114">
        <v>0</v>
      </c>
      <c r="AN35" s="113">
        <v>15000000</v>
      </c>
      <c r="AO35" s="113">
        <v>0</v>
      </c>
      <c r="AP35" s="113">
        <f t="shared" si="2"/>
        <v>0</v>
      </c>
      <c r="AQ35" s="113">
        <f t="shared" si="3"/>
        <v>85761600</v>
      </c>
      <c r="AR35" s="63"/>
      <c r="AS35" s="63"/>
      <c r="AT35" s="63"/>
      <c r="AU35" s="63"/>
      <c r="AV35" s="120" t="s">
        <v>336</v>
      </c>
      <c r="AW35" s="120" t="s">
        <v>336</v>
      </c>
      <c r="AX35" s="63"/>
      <c r="AY35" s="63"/>
      <c r="AZ35" s="63"/>
      <c r="BA35" s="63"/>
      <c r="BB35" s="111"/>
      <c r="BC35" s="111"/>
      <c r="BD35" s="123"/>
      <c r="BE35" s="113"/>
    </row>
    <row r="36" spans="1:57">
      <c r="A36" s="63">
        <v>33</v>
      </c>
      <c r="B36" s="109">
        <v>46127</v>
      </c>
      <c r="C36" s="110">
        <v>4</v>
      </c>
      <c r="D36" s="63" t="s">
        <v>100</v>
      </c>
      <c r="E36" s="63" t="s">
        <v>118</v>
      </c>
      <c r="F36" s="63" t="s">
        <v>23</v>
      </c>
      <c r="G36" s="63" t="s">
        <v>444</v>
      </c>
      <c r="H36" s="63" t="s">
        <v>173</v>
      </c>
      <c r="I36" s="63" t="s">
        <v>160</v>
      </c>
      <c r="J36" s="63"/>
      <c r="K36" s="111" t="s">
        <v>161</v>
      </c>
      <c r="L36" s="63" t="s">
        <v>445</v>
      </c>
      <c r="M36" s="63" t="s">
        <v>120</v>
      </c>
      <c r="N36" s="63"/>
      <c r="O36" s="112">
        <v>46127</v>
      </c>
      <c r="P36" s="113">
        <v>745000000</v>
      </c>
      <c r="Q36" s="113">
        <v>44700000</v>
      </c>
      <c r="R36" s="208"/>
      <c r="S36" s="116">
        <v>1.4999999999999999E-2</v>
      </c>
      <c r="T36" s="114">
        <v>22350000</v>
      </c>
      <c r="U36" s="115"/>
      <c r="V36" s="116"/>
      <c r="W36" s="116">
        <v>10000000</v>
      </c>
      <c r="X36" s="113">
        <v>657780750</v>
      </c>
      <c r="Y36" s="113">
        <v>657780750</v>
      </c>
      <c r="Z36" s="113">
        <f t="shared" si="4"/>
        <v>0</v>
      </c>
      <c r="AA36" s="113">
        <v>667780750</v>
      </c>
      <c r="AB36" s="113">
        <v>715200000</v>
      </c>
      <c r="AC36" s="63"/>
      <c r="AD36" s="118">
        <v>0.04</v>
      </c>
      <c r="AE36" s="118"/>
      <c r="AF36" s="119">
        <v>0</v>
      </c>
      <c r="AG36" s="63"/>
      <c r="AH36" s="118">
        <v>0.04</v>
      </c>
      <c r="AI36" s="63"/>
      <c r="AJ36" s="63"/>
      <c r="AK36" s="115">
        <f t="shared" si="5"/>
        <v>74130480</v>
      </c>
      <c r="AL36" s="116">
        <f>10169250*40%</f>
        <v>4067700</v>
      </c>
      <c r="AM36" s="114">
        <v>0</v>
      </c>
      <c r="AN36" s="113">
        <v>0</v>
      </c>
      <c r="AO36" s="113">
        <v>0</v>
      </c>
      <c r="AP36" s="113">
        <f t="shared" si="2"/>
        <v>0</v>
      </c>
      <c r="AQ36" s="113">
        <f t="shared" si="3"/>
        <v>78198180</v>
      </c>
      <c r="AR36" s="63"/>
      <c r="AS36" s="63"/>
      <c r="AT36" s="63"/>
      <c r="AU36" s="63"/>
      <c r="AV36" s="120" t="s">
        <v>336</v>
      </c>
      <c r="AW36" s="121"/>
      <c r="AX36" s="63"/>
      <c r="AY36" s="63"/>
      <c r="AZ36" s="63"/>
      <c r="BA36" s="63"/>
      <c r="BB36" s="111"/>
      <c r="BC36" s="111"/>
      <c r="BD36" s="123"/>
      <c r="BE36" s="113"/>
    </row>
    <row r="37" spans="1:57">
      <c r="A37" s="63">
        <v>34</v>
      </c>
      <c r="B37" s="109">
        <v>46127</v>
      </c>
      <c r="C37" s="110">
        <v>4</v>
      </c>
      <c r="D37" s="63" t="s">
        <v>100</v>
      </c>
      <c r="E37" s="63" t="s">
        <v>446</v>
      </c>
      <c r="F37" s="63" t="s">
        <v>447</v>
      </c>
      <c r="G37" s="63" t="s">
        <v>448</v>
      </c>
      <c r="H37" s="63" t="s">
        <v>155</v>
      </c>
      <c r="I37" s="63" t="s">
        <v>162</v>
      </c>
      <c r="J37" s="63"/>
      <c r="K37" s="111" t="s">
        <v>102</v>
      </c>
      <c r="L37" s="63" t="s">
        <v>449</v>
      </c>
      <c r="M37" s="63" t="s">
        <v>120</v>
      </c>
      <c r="N37" s="63"/>
      <c r="O37" s="112">
        <v>46128</v>
      </c>
      <c r="P37" s="113">
        <v>310000000</v>
      </c>
      <c r="Q37" s="113">
        <v>18600000</v>
      </c>
      <c r="R37" s="208"/>
      <c r="S37" s="113"/>
      <c r="T37" s="114">
        <v>9300000</v>
      </c>
      <c r="U37" s="115"/>
      <c r="V37" s="116">
        <v>18000000</v>
      </c>
      <c r="W37" s="113"/>
      <c r="X37" s="113">
        <v>264100000</v>
      </c>
      <c r="Y37" s="113">
        <v>264100000</v>
      </c>
      <c r="Z37" s="113">
        <f t="shared" si="4"/>
        <v>0</v>
      </c>
      <c r="AA37" s="113">
        <v>264100000</v>
      </c>
      <c r="AB37" s="113">
        <v>297600000</v>
      </c>
      <c r="AC37" s="117"/>
      <c r="AD37" s="118">
        <v>0.04</v>
      </c>
      <c r="AE37" s="118"/>
      <c r="AF37" s="119">
        <v>0</v>
      </c>
      <c r="AG37" s="63"/>
      <c r="AH37" s="118">
        <v>0.04</v>
      </c>
      <c r="AI37" s="63"/>
      <c r="AJ37" s="63"/>
      <c r="AK37" s="115">
        <f t="shared" si="5"/>
        <v>44064000</v>
      </c>
      <c r="AL37" s="113"/>
      <c r="AM37" s="114">
        <v>0</v>
      </c>
      <c r="AN37" s="113">
        <v>0</v>
      </c>
      <c r="AO37" s="113">
        <v>0</v>
      </c>
      <c r="AP37" s="113">
        <f t="shared" si="2"/>
        <v>0</v>
      </c>
      <c r="AQ37" s="113">
        <f t="shared" si="3"/>
        <v>44064000</v>
      </c>
      <c r="AR37" s="63"/>
      <c r="AS37" s="63"/>
      <c r="AT37" s="63"/>
      <c r="AU37" s="63"/>
      <c r="AV37" s="120" t="s">
        <v>450</v>
      </c>
      <c r="AW37" s="121"/>
      <c r="AX37" s="63"/>
      <c r="AY37" s="63"/>
      <c r="AZ37" s="63"/>
      <c r="BA37" s="63"/>
      <c r="BB37" s="111"/>
      <c r="BC37" s="111"/>
      <c r="BD37" s="123"/>
      <c r="BE37" s="113"/>
    </row>
    <row r="38" spans="1:57">
      <c r="A38" s="63">
        <v>35</v>
      </c>
      <c r="B38" s="109">
        <v>46127</v>
      </c>
      <c r="C38" s="110">
        <v>4</v>
      </c>
      <c r="D38" s="63" t="s">
        <v>100</v>
      </c>
      <c r="E38" s="63" t="s">
        <v>101</v>
      </c>
      <c r="F38" s="63" t="s">
        <v>451</v>
      </c>
      <c r="G38" s="63" t="s">
        <v>452</v>
      </c>
      <c r="H38" s="63" t="s">
        <v>155</v>
      </c>
      <c r="I38" s="63" t="s">
        <v>162</v>
      </c>
      <c r="J38" s="63"/>
      <c r="K38" s="111" t="s">
        <v>108</v>
      </c>
      <c r="L38" s="63" t="s">
        <v>453</v>
      </c>
      <c r="M38" s="63" t="s">
        <v>120</v>
      </c>
      <c r="N38" s="63"/>
      <c r="O38" s="112">
        <v>46128</v>
      </c>
      <c r="P38" s="113">
        <v>302000000</v>
      </c>
      <c r="Q38" s="113">
        <v>18120000</v>
      </c>
      <c r="R38" s="208"/>
      <c r="S38" s="113"/>
      <c r="T38" s="114"/>
      <c r="U38" s="115"/>
      <c r="V38" s="116"/>
      <c r="W38" s="113"/>
      <c r="X38" s="113">
        <v>283880000</v>
      </c>
      <c r="Y38" s="113">
        <v>283880000</v>
      </c>
      <c r="Z38" s="113">
        <f t="shared" si="4"/>
        <v>0</v>
      </c>
      <c r="AA38" s="113">
        <v>283880000</v>
      </c>
      <c r="AB38" s="113">
        <v>289920000</v>
      </c>
      <c r="AC38" s="117"/>
      <c r="AD38" s="118">
        <v>0.04</v>
      </c>
      <c r="AE38" s="118"/>
      <c r="AF38" s="119">
        <v>0</v>
      </c>
      <c r="AG38" s="63"/>
      <c r="AH38" s="118">
        <v>0.04</v>
      </c>
      <c r="AI38" s="63"/>
      <c r="AJ38" s="63"/>
      <c r="AK38" s="115">
        <f t="shared" si="5"/>
        <v>17395200</v>
      </c>
      <c r="AL38" s="113"/>
      <c r="AM38" s="114">
        <v>0</v>
      </c>
      <c r="AN38" s="113">
        <v>0</v>
      </c>
      <c r="AO38" s="113">
        <v>0</v>
      </c>
      <c r="AP38" s="113">
        <f t="shared" si="2"/>
        <v>0</v>
      </c>
      <c r="AQ38" s="113">
        <f t="shared" si="3"/>
        <v>17395200</v>
      </c>
      <c r="AR38" s="63"/>
      <c r="AS38" s="63"/>
      <c r="AT38" s="63"/>
      <c r="AU38" s="63"/>
      <c r="AV38" s="120" t="s">
        <v>450</v>
      </c>
      <c r="AW38" s="121"/>
      <c r="AX38" s="63"/>
      <c r="AY38" s="63"/>
      <c r="AZ38" s="63"/>
      <c r="BA38" s="63"/>
      <c r="BB38" s="111"/>
      <c r="BC38" s="111"/>
      <c r="BD38" s="123"/>
      <c r="BE38" s="113"/>
    </row>
    <row r="39" spans="1:57">
      <c r="A39" s="63">
        <v>36</v>
      </c>
      <c r="B39" s="147">
        <v>46127</v>
      </c>
      <c r="C39" s="148">
        <v>4</v>
      </c>
      <c r="D39" s="65" t="s">
        <v>122</v>
      </c>
      <c r="E39" s="65" t="s">
        <v>182</v>
      </c>
      <c r="F39" s="65" t="s">
        <v>454</v>
      </c>
      <c r="G39" s="65" t="s">
        <v>455</v>
      </c>
      <c r="H39" s="63" t="s">
        <v>52</v>
      </c>
      <c r="I39" s="65" t="s">
        <v>148</v>
      </c>
      <c r="J39" s="65"/>
      <c r="K39" s="149" t="s">
        <v>114</v>
      </c>
      <c r="L39" s="65" t="s">
        <v>456</v>
      </c>
      <c r="M39" s="65" t="s">
        <v>107</v>
      </c>
      <c r="N39" s="65"/>
      <c r="O39" s="150">
        <v>46125</v>
      </c>
      <c r="P39" s="151">
        <v>749000000</v>
      </c>
      <c r="Q39" s="151">
        <v>44940000</v>
      </c>
      <c r="R39" s="210"/>
      <c r="S39" s="151"/>
      <c r="T39" s="152"/>
      <c r="U39" s="153"/>
      <c r="V39" s="154"/>
      <c r="W39" s="154">
        <v>12000000</v>
      </c>
      <c r="X39" s="151">
        <v>692060000</v>
      </c>
      <c r="Y39" s="151">
        <v>692060000</v>
      </c>
      <c r="Z39" s="113">
        <f t="shared" si="4"/>
        <v>0</v>
      </c>
      <c r="AA39" s="151">
        <v>704060000</v>
      </c>
      <c r="AB39" s="151">
        <v>719040000</v>
      </c>
      <c r="AC39" s="155"/>
      <c r="AD39" s="156">
        <v>0.04</v>
      </c>
      <c r="AE39" s="156"/>
      <c r="AF39" s="157">
        <v>0</v>
      </c>
      <c r="AG39" s="65"/>
      <c r="AH39" s="156">
        <v>0.04</v>
      </c>
      <c r="AI39" s="65"/>
      <c r="AJ39" s="65"/>
      <c r="AK39" s="153">
        <f t="shared" si="5"/>
        <v>43142400</v>
      </c>
      <c r="AL39" s="151"/>
      <c r="AM39" s="114">
        <v>0</v>
      </c>
      <c r="AN39" s="113">
        <v>0</v>
      </c>
      <c r="AO39" s="113">
        <v>10000000</v>
      </c>
      <c r="AP39" s="113">
        <f t="shared" si="2"/>
        <v>5000000</v>
      </c>
      <c r="AQ39" s="113">
        <f t="shared" si="3"/>
        <v>48142400</v>
      </c>
      <c r="AR39" s="65"/>
      <c r="AS39" s="65"/>
      <c r="AT39" s="65"/>
      <c r="AU39" s="65"/>
      <c r="AV39" s="158"/>
      <c r="AW39" s="159"/>
      <c r="AX39" s="65"/>
      <c r="AY39" s="65"/>
      <c r="AZ39" s="65"/>
      <c r="BA39" s="65"/>
      <c r="BB39" s="149"/>
      <c r="BC39" s="149"/>
      <c r="BD39" s="118">
        <v>0.01</v>
      </c>
      <c r="BE39" s="113">
        <f>BD39*AA39</f>
        <v>7040600</v>
      </c>
    </row>
    <row r="40" spans="1:57">
      <c r="A40" s="63">
        <v>37</v>
      </c>
      <c r="B40" s="147">
        <v>46127</v>
      </c>
      <c r="C40" s="148">
        <v>4</v>
      </c>
      <c r="D40" s="65" t="s">
        <v>122</v>
      </c>
      <c r="E40" s="65" t="s">
        <v>457</v>
      </c>
      <c r="F40" s="65" t="s">
        <v>458</v>
      </c>
      <c r="G40" s="65" t="s">
        <v>459</v>
      </c>
      <c r="H40" s="65" t="s">
        <v>58</v>
      </c>
      <c r="I40" s="65" t="s">
        <v>174</v>
      </c>
      <c r="J40" s="65"/>
      <c r="K40" s="149" t="s">
        <v>324</v>
      </c>
      <c r="L40" s="65" t="s">
        <v>460</v>
      </c>
      <c r="M40" s="65" t="s">
        <v>107</v>
      </c>
      <c r="N40" s="65"/>
      <c r="O40" s="150">
        <v>46125</v>
      </c>
      <c r="P40" s="151">
        <v>305000000</v>
      </c>
      <c r="Q40" s="151">
        <v>18300000</v>
      </c>
      <c r="R40" s="210"/>
      <c r="S40" s="151"/>
      <c r="T40" s="152"/>
      <c r="U40" s="153"/>
      <c r="V40" s="154"/>
      <c r="W40" s="151"/>
      <c r="X40" s="151">
        <v>286700000</v>
      </c>
      <c r="Y40" s="151">
        <v>286700000</v>
      </c>
      <c r="Z40" s="113">
        <f t="shared" si="4"/>
        <v>0</v>
      </c>
      <c r="AA40" s="151">
        <v>286700000</v>
      </c>
      <c r="AB40" s="151">
        <v>292800000</v>
      </c>
      <c r="AC40" s="155"/>
      <c r="AD40" s="156">
        <v>0.04</v>
      </c>
      <c r="AE40" s="156"/>
      <c r="AF40" s="157">
        <v>0</v>
      </c>
      <c r="AG40" s="65"/>
      <c r="AH40" s="156">
        <v>0.04</v>
      </c>
      <c r="AI40" s="65"/>
      <c r="AJ40" s="65"/>
      <c r="AK40" s="153">
        <f t="shared" si="5"/>
        <v>17568000</v>
      </c>
      <c r="AL40" s="151"/>
      <c r="AM40" s="114">
        <v>0</v>
      </c>
      <c r="AN40" s="113">
        <v>0</v>
      </c>
      <c r="AO40" s="113">
        <v>5000000</v>
      </c>
      <c r="AP40" s="113">
        <f t="shared" si="2"/>
        <v>2500000</v>
      </c>
      <c r="AQ40" s="113">
        <f t="shared" si="3"/>
        <v>20068000</v>
      </c>
      <c r="AR40" s="65"/>
      <c r="AS40" s="65"/>
      <c r="AT40" s="65"/>
      <c r="AU40" s="65"/>
      <c r="AV40" s="158"/>
      <c r="AW40" s="159"/>
      <c r="AX40" s="65"/>
      <c r="AY40" s="65"/>
      <c r="AZ40" s="65"/>
      <c r="BA40" s="65"/>
      <c r="BB40" s="149"/>
      <c r="BC40" s="149"/>
      <c r="BD40" s="118">
        <v>0.01</v>
      </c>
      <c r="BE40" s="113">
        <f>BD40*AA40</f>
        <v>2867000</v>
      </c>
    </row>
    <row r="41" spans="1:57">
      <c r="A41" s="63">
        <v>38</v>
      </c>
      <c r="B41" s="147">
        <v>46127</v>
      </c>
      <c r="C41" s="148">
        <v>4</v>
      </c>
      <c r="D41" s="65" t="s">
        <v>122</v>
      </c>
      <c r="E41" s="65" t="s">
        <v>461</v>
      </c>
      <c r="F41" s="65" t="s">
        <v>462</v>
      </c>
      <c r="G41" s="65" t="s">
        <v>463</v>
      </c>
      <c r="H41" s="63" t="s">
        <v>52</v>
      </c>
      <c r="I41" s="65" t="s">
        <v>148</v>
      </c>
      <c r="J41" s="65"/>
      <c r="K41" s="149" t="s">
        <v>114</v>
      </c>
      <c r="L41" s="65" t="s">
        <v>464</v>
      </c>
      <c r="M41" s="65" t="s">
        <v>107</v>
      </c>
      <c r="N41" s="65"/>
      <c r="O41" s="150">
        <v>46126</v>
      </c>
      <c r="P41" s="151">
        <v>749000000</v>
      </c>
      <c r="Q41" s="151">
        <v>44940000</v>
      </c>
      <c r="R41" s="210"/>
      <c r="S41" s="151"/>
      <c r="T41" s="152"/>
      <c r="U41" s="153"/>
      <c r="V41" s="154"/>
      <c r="W41" s="154"/>
      <c r="X41" s="151">
        <v>704060000</v>
      </c>
      <c r="Y41" s="151">
        <v>704060000</v>
      </c>
      <c r="Z41" s="113">
        <f t="shared" si="4"/>
        <v>0</v>
      </c>
      <c r="AA41" s="151">
        <v>704060000</v>
      </c>
      <c r="AB41" s="151">
        <v>719040000</v>
      </c>
      <c r="AC41" s="155"/>
      <c r="AD41" s="156">
        <v>0.04</v>
      </c>
      <c r="AE41" s="156"/>
      <c r="AF41" s="157">
        <v>0</v>
      </c>
      <c r="AG41" s="65"/>
      <c r="AH41" s="156">
        <v>0.04</v>
      </c>
      <c r="AI41" s="65"/>
      <c r="AJ41" s="65"/>
      <c r="AK41" s="153">
        <f t="shared" si="5"/>
        <v>43142400</v>
      </c>
      <c r="AL41" s="151"/>
      <c r="AM41" s="114">
        <v>0</v>
      </c>
      <c r="AN41" s="113">
        <v>0</v>
      </c>
      <c r="AO41" s="113">
        <v>10000000</v>
      </c>
      <c r="AP41" s="113">
        <f t="shared" si="2"/>
        <v>5000000</v>
      </c>
      <c r="AQ41" s="113">
        <f t="shared" si="3"/>
        <v>48142400</v>
      </c>
      <c r="AR41" s="65"/>
      <c r="AS41" s="65"/>
      <c r="AT41" s="65"/>
      <c r="AU41" s="65"/>
      <c r="AV41" s="158" t="s">
        <v>465</v>
      </c>
      <c r="AW41" s="159"/>
      <c r="AX41" s="65"/>
      <c r="AY41" s="65"/>
      <c r="AZ41" s="65"/>
      <c r="BA41" s="65"/>
      <c r="BB41" s="106">
        <v>9842759</v>
      </c>
      <c r="BC41" s="149"/>
      <c r="BD41" s="118">
        <v>0.01</v>
      </c>
      <c r="BE41" s="113">
        <f>BD41*AA41</f>
        <v>7040600</v>
      </c>
    </row>
    <row r="42" spans="1:57">
      <c r="A42" s="63">
        <v>39</v>
      </c>
      <c r="B42" s="124">
        <v>46127</v>
      </c>
      <c r="C42" s="125">
        <v>1</v>
      </c>
      <c r="D42" s="64" t="s">
        <v>104</v>
      </c>
      <c r="E42" s="64" t="s">
        <v>466</v>
      </c>
      <c r="F42" s="64" t="s">
        <v>467</v>
      </c>
      <c r="G42" s="64" t="s">
        <v>468</v>
      </c>
      <c r="H42" s="64" t="s">
        <v>164</v>
      </c>
      <c r="I42" s="64" t="s">
        <v>469</v>
      </c>
      <c r="J42" s="64"/>
      <c r="K42" s="126" t="s">
        <v>320</v>
      </c>
      <c r="L42" s="64" t="s">
        <v>470</v>
      </c>
      <c r="M42" s="64" t="s">
        <v>120</v>
      </c>
      <c r="N42" s="64"/>
      <c r="O42" s="127">
        <v>0</v>
      </c>
      <c r="P42" s="128">
        <v>799000000</v>
      </c>
      <c r="Q42" s="128">
        <v>47940000</v>
      </c>
      <c r="R42" s="209"/>
      <c r="S42" s="128"/>
      <c r="T42" s="129">
        <v>23970000</v>
      </c>
      <c r="U42" s="138">
        <v>0.05</v>
      </c>
      <c r="V42" s="130">
        <v>20000000</v>
      </c>
      <c r="W42" s="130">
        <v>5000000</v>
      </c>
      <c r="X42" s="128">
        <v>662140000</v>
      </c>
      <c r="Y42" s="128">
        <v>662140000</v>
      </c>
      <c r="Z42" s="113">
        <f t="shared" si="4"/>
        <v>0</v>
      </c>
      <c r="AA42" s="128">
        <v>667140000</v>
      </c>
      <c r="AB42" s="113">
        <v>763045000</v>
      </c>
      <c r="AC42" s="131"/>
      <c r="AD42" s="132">
        <v>4.4999999999999998E-2</v>
      </c>
      <c r="AE42" s="132"/>
      <c r="AF42" s="133">
        <v>0</v>
      </c>
      <c r="AG42" s="64"/>
      <c r="AH42" s="132">
        <v>4.4999999999999998E-2</v>
      </c>
      <c r="AI42" s="64"/>
      <c r="AJ42" s="123">
        <v>2.5000000000000001E-2</v>
      </c>
      <c r="AK42" s="128">
        <f t="shared" si="5"/>
        <v>105951300</v>
      </c>
      <c r="AL42" s="128"/>
      <c r="AM42" s="114">
        <v>0</v>
      </c>
      <c r="AN42" s="113">
        <v>0</v>
      </c>
      <c r="AO42" s="113">
        <v>0</v>
      </c>
      <c r="AP42" s="113">
        <f t="shared" si="2"/>
        <v>0</v>
      </c>
      <c r="AQ42" s="113">
        <f t="shared" si="3"/>
        <v>105951300</v>
      </c>
      <c r="AR42" s="64"/>
      <c r="AS42" s="64"/>
      <c r="AT42" s="64"/>
      <c r="AU42" s="64"/>
      <c r="AV42" s="134"/>
      <c r="AW42" s="135"/>
      <c r="AX42" s="64"/>
      <c r="AY42" s="64"/>
      <c r="AZ42" s="64"/>
      <c r="BA42" s="64"/>
      <c r="BB42" s="126"/>
      <c r="BC42" s="126"/>
      <c r="BD42" s="160"/>
      <c r="BE42" s="128"/>
    </row>
    <row r="43" spans="1:57">
      <c r="A43" s="63">
        <v>40</v>
      </c>
      <c r="B43" s="124">
        <v>46127</v>
      </c>
      <c r="C43" s="125">
        <v>1</v>
      </c>
      <c r="D43" s="64" t="s">
        <v>104</v>
      </c>
      <c r="E43" s="64" t="s">
        <v>325</v>
      </c>
      <c r="F43" s="64" t="s">
        <v>471</v>
      </c>
      <c r="G43" s="64" t="s">
        <v>472</v>
      </c>
      <c r="H43" s="64" t="s">
        <v>164</v>
      </c>
      <c r="I43" s="64" t="s">
        <v>473</v>
      </c>
      <c r="J43" s="64"/>
      <c r="K43" s="126" t="s">
        <v>192</v>
      </c>
      <c r="L43" s="64" t="s">
        <v>474</v>
      </c>
      <c r="M43" s="64" t="s">
        <v>107</v>
      </c>
      <c r="N43" s="64"/>
      <c r="O43" s="127">
        <v>0</v>
      </c>
      <c r="P43" s="128">
        <v>889000000</v>
      </c>
      <c r="Q43" s="128">
        <v>53340000</v>
      </c>
      <c r="R43" s="209"/>
      <c r="S43" s="128"/>
      <c r="T43" s="129"/>
      <c r="U43" s="138">
        <v>0.05</v>
      </c>
      <c r="V43" s="130"/>
      <c r="W43" s="128"/>
      <c r="X43" s="128">
        <v>791210000</v>
      </c>
      <c r="Y43" s="128">
        <v>791210000</v>
      </c>
      <c r="Z43" s="113">
        <f t="shared" si="4"/>
        <v>0</v>
      </c>
      <c r="AA43" s="128">
        <v>791210000</v>
      </c>
      <c r="AB43" s="113">
        <v>848995000</v>
      </c>
      <c r="AC43" s="131"/>
      <c r="AD43" s="132">
        <v>4.4999999999999998E-2</v>
      </c>
      <c r="AE43" s="132"/>
      <c r="AF43" s="133">
        <v>0</v>
      </c>
      <c r="AG43" s="64"/>
      <c r="AH43" s="132">
        <v>4.4999999999999998E-2</v>
      </c>
      <c r="AI43" s="64"/>
      <c r="AJ43" s="123">
        <v>2.5000000000000001E-2</v>
      </c>
      <c r="AK43" s="128">
        <f t="shared" si="5"/>
        <v>71164450</v>
      </c>
      <c r="AL43" s="128"/>
      <c r="AM43" s="114">
        <v>0</v>
      </c>
      <c r="AN43" s="113">
        <v>0</v>
      </c>
      <c r="AO43" s="113">
        <v>0</v>
      </c>
      <c r="AP43" s="113">
        <f t="shared" si="2"/>
        <v>0</v>
      </c>
      <c r="AQ43" s="113">
        <f t="shared" si="3"/>
        <v>71164450</v>
      </c>
      <c r="AR43" s="64"/>
      <c r="AS43" s="64"/>
      <c r="AT43" s="64"/>
      <c r="AU43" s="64"/>
      <c r="AV43" s="134" t="s">
        <v>475</v>
      </c>
      <c r="AW43" s="135"/>
      <c r="AX43" s="64"/>
      <c r="AY43" s="64"/>
      <c r="AZ43" s="64"/>
      <c r="BA43" s="64"/>
      <c r="BB43" s="126">
        <f>8703310+ 530700</f>
        <v>9234010</v>
      </c>
      <c r="BC43" s="126"/>
      <c r="BD43" s="118">
        <v>0.01</v>
      </c>
      <c r="BE43" s="113">
        <f>BD43*AA43</f>
        <v>7912100</v>
      </c>
    </row>
    <row r="44" spans="1:57">
      <c r="A44" s="63">
        <v>41</v>
      </c>
      <c r="B44" s="109">
        <v>46127</v>
      </c>
      <c r="C44" s="110">
        <v>4</v>
      </c>
      <c r="D44" s="63" t="s">
        <v>100</v>
      </c>
      <c r="E44" s="63" t="s">
        <v>124</v>
      </c>
      <c r="F44" s="63" t="s">
        <v>124</v>
      </c>
      <c r="G44" s="63" t="s">
        <v>476</v>
      </c>
      <c r="H44" s="63" t="s">
        <v>117</v>
      </c>
      <c r="I44" s="63" t="s">
        <v>105</v>
      </c>
      <c r="J44" s="63"/>
      <c r="K44" s="111" t="s">
        <v>117</v>
      </c>
      <c r="L44" s="63" t="s">
        <v>477</v>
      </c>
      <c r="M44" s="63" t="s">
        <v>103</v>
      </c>
      <c r="N44" s="63"/>
      <c r="O44" s="112">
        <v>46128</v>
      </c>
      <c r="P44" s="113">
        <v>819000000</v>
      </c>
      <c r="Q44" s="113">
        <v>49140000</v>
      </c>
      <c r="R44" s="208"/>
      <c r="S44" s="113"/>
      <c r="T44" s="114"/>
      <c r="U44" s="138">
        <v>0.03</v>
      </c>
      <c r="V44" s="116"/>
      <c r="W44" s="116">
        <v>10000000</v>
      </c>
      <c r="X44" s="113">
        <v>735290000</v>
      </c>
      <c r="Y44" s="113">
        <v>735290000</v>
      </c>
      <c r="Z44" s="113">
        <f t="shared" si="4"/>
        <v>0</v>
      </c>
      <c r="AA44" s="113">
        <v>745290000</v>
      </c>
      <c r="AB44" s="113">
        <v>786240000</v>
      </c>
      <c r="AC44" s="117"/>
      <c r="AD44" s="118">
        <v>0.04</v>
      </c>
      <c r="AE44" s="118"/>
      <c r="AF44" s="119">
        <v>0</v>
      </c>
      <c r="AG44" s="63"/>
      <c r="AH44" s="118">
        <v>0.04</v>
      </c>
      <c r="AI44" s="123">
        <v>1.4999999999999999E-2</v>
      </c>
      <c r="AJ44" s="63"/>
      <c r="AK44" s="115">
        <f t="shared" si="5"/>
        <v>58476600</v>
      </c>
      <c r="AL44" s="113"/>
      <c r="AM44" s="114">
        <v>0</v>
      </c>
      <c r="AN44" s="113">
        <v>15000000</v>
      </c>
      <c r="AO44" s="113">
        <v>0</v>
      </c>
      <c r="AP44" s="113">
        <f t="shared" si="2"/>
        <v>0</v>
      </c>
      <c r="AQ44" s="113">
        <f t="shared" si="3"/>
        <v>73476600</v>
      </c>
      <c r="AR44" s="63"/>
      <c r="AS44" s="63"/>
      <c r="AT44" s="63"/>
      <c r="AU44" s="63"/>
      <c r="AV44" s="120"/>
      <c r="AW44" s="121"/>
      <c r="AX44" s="63"/>
      <c r="AY44" s="63"/>
      <c r="AZ44" s="63"/>
      <c r="BA44" s="63"/>
      <c r="BB44" s="111"/>
      <c r="BC44" s="111"/>
      <c r="BD44" s="123"/>
      <c r="BE44" s="113"/>
    </row>
    <row r="45" spans="1:57">
      <c r="A45" s="63">
        <v>42</v>
      </c>
      <c r="B45" s="109">
        <v>46127</v>
      </c>
      <c r="C45" s="110">
        <v>1</v>
      </c>
      <c r="D45" s="63" t="s">
        <v>138</v>
      </c>
      <c r="E45" s="63" t="s">
        <v>184</v>
      </c>
      <c r="F45" s="63" t="s">
        <v>478</v>
      </c>
      <c r="G45" s="63" t="s">
        <v>479</v>
      </c>
      <c r="H45" s="63" t="s">
        <v>167</v>
      </c>
      <c r="I45" s="63" t="s">
        <v>140</v>
      </c>
      <c r="J45" s="63"/>
      <c r="K45" s="111" t="s">
        <v>119</v>
      </c>
      <c r="L45" s="63" t="s">
        <v>480</v>
      </c>
      <c r="M45" s="63" t="s">
        <v>107</v>
      </c>
      <c r="N45" s="63"/>
      <c r="O45" s="112">
        <v>0</v>
      </c>
      <c r="P45" s="113">
        <v>529000000</v>
      </c>
      <c r="Q45" s="113">
        <v>31740000</v>
      </c>
      <c r="R45" s="208"/>
      <c r="S45" s="116">
        <v>5.0000000000000001E-3</v>
      </c>
      <c r="T45" s="114">
        <v>15870000</v>
      </c>
      <c r="U45" s="115"/>
      <c r="V45" s="116"/>
      <c r="W45" s="113"/>
      <c r="X45" s="113">
        <v>479018050</v>
      </c>
      <c r="Y45" s="113">
        <v>479018050</v>
      </c>
      <c r="Z45" s="113">
        <f t="shared" si="4"/>
        <v>0</v>
      </c>
      <c r="AA45" s="113">
        <v>479018050</v>
      </c>
      <c r="AB45" s="113">
        <v>507840000</v>
      </c>
      <c r="AC45" s="117"/>
      <c r="AD45" s="118">
        <v>0.04</v>
      </c>
      <c r="AE45" s="118"/>
      <c r="AF45" s="119">
        <v>0</v>
      </c>
      <c r="AG45" s="63"/>
      <c r="AH45" s="118">
        <v>0.04</v>
      </c>
      <c r="AI45" s="63"/>
      <c r="AJ45" s="123"/>
      <c r="AK45" s="115">
        <f t="shared" si="5"/>
        <v>47982672</v>
      </c>
      <c r="AL45" s="116">
        <f>2371950*40%</f>
        <v>948780</v>
      </c>
      <c r="AM45" s="114">
        <v>0</v>
      </c>
      <c r="AN45" s="113">
        <v>0</v>
      </c>
      <c r="AO45" s="113">
        <v>7000000</v>
      </c>
      <c r="AP45" s="113">
        <f t="shared" si="2"/>
        <v>3500000</v>
      </c>
      <c r="AQ45" s="113">
        <f t="shared" si="3"/>
        <v>52431452</v>
      </c>
      <c r="AR45" s="63"/>
      <c r="AS45" s="63"/>
      <c r="AT45" s="63"/>
      <c r="AU45" s="63"/>
      <c r="AV45" s="120" t="s">
        <v>431</v>
      </c>
      <c r="AW45" s="121"/>
      <c r="AX45" s="63"/>
      <c r="AY45" s="63"/>
      <c r="AZ45" s="63"/>
      <c r="BA45" s="63"/>
      <c r="BB45" s="122">
        <v>6706253</v>
      </c>
      <c r="BC45" s="111"/>
      <c r="BD45" s="118">
        <v>0.01</v>
      </c>
      <c r="BE45" s="113">
        <f>BD45*AA45</f>
        <v>4790180.5</v>
      </c>
    </row>
    <row r="46" spans="1:57">
      <c r="A46" s="63">
        <v>43</v>
      </c>
      <c r="B46" s="109">
        <v>46127</v>
      </c>
      <c r="C46" s="110">
        <v>1</v>
      </c>
      <c r="D46" s="63" t="s">
        <v>138</v>
      </c>
      <c r="E46" s="63" t="s">
        <v>142</v>
      </c>
      <c r="F46" s="63" t="s">
        <v>481</v>
      </c>
      <c r="G46" s="63" t="s">
        <v>482</v>
      </c>
      <c r="H46" s="63" t="s">
        <v>52</v>
      </c>
      <c r="I46" s="63" t="s">
        <v>114</v>
      </c>
      <c r="J46" s="63"/>
      <c r="K46" s="111" t="s">
        <v>114</v>
      </c>
      <c r="L46" s="63" t="s">
        <v>115</v>
      </c>
      <c r="M46" s="63" t="s">
        <v>103</v>
      </c>
      <c r="N46" s="63"/>
      <c r="O46" s="112">
        <v>0</v>
      </c>
      <c r="P46" s="113">
        <v>749000000</v>
      </c>
      <c r="Q46" s="113"/>
      <c r="R46" s="208">
        <v>7.0000000000000007E-2</v>
      </c>
      <c r="S46" s="113"/>
      <c r="T46" s="114">
        <v>22470000</v>
      </c>
      <c r="U46" s="115"/>
      <c r="V46" s="116">
        <v>15000000</v>
      </c>
      <c r="W46" s="116">
        <v>8000000</v>
      </c>
      <c r="X46" s="113">
        <v>703530000</v>
      </c>
      <c r="Y46" s="113">
        <v>703530000</v>
      </c>
      <c r="Z46" s="113">
        <f t="shared" si="4"/>
        <v>0</v>
      </c>
      <c r="AA46" s="113">
        <v>711530000</v>
      </c>
      <c r="AB46" s="113">
        <v>726530000</v>
      </c>
      <c r="AC46" s="117"/>
      <c r="AD46" s="118">
        <v>0.04</v>
      </c>
      <c r="AE46" s="118"/>
      <c r="AF46" s="119">
        <v>0</v>
      </c>
      <c r="AG46" s="63"/>
      <c r="AH46" s="118">
        <v>0.04</v>
      </c>
      <c r="AI46" s="63"/>
      <c r="AJ46" s="123"/>
      <c r="AK46" s="115">
        <f t="shared" si="5"/>
        <v>43461200</v>
      </c>
      <c r="AL46" s="113"/>
      <c r="AM46" s="114">
        <v>0</v>
      </c>
      <c r="AN46" s="113">
        <v>0</v>
      </c>
      <c r="AO46" s="113">
        <v>10000000</v>
      </c>
      <c r="AP46" s="113">
        <f t="shared" si="2"/>
        <v>5000000</v>
      </c>
      <c r="AQ46" s="113">
        <f t="shared" si="3"/>
        <v>48461200</v>
      </c>
      <c r="AR46" s="63"/>
      <c r="AS46" s="63"/>
      <c r="AT46" s="63"/>
      <c r="AU46" s="63"/>
      <c r="AV46" s="120" t="s">
        <v>483</v>
      </c>
      <c r="AW46" s="121"/>
      <c r="AX46" s="63"/>
      <c r="AY46" s="63"/>
      <c r="AZ46" s="63"/>
      <c r="BA46" s="63"/>
      <c r="BB46" s="111">
        <f>7035300+943400</f>
        <v>7978700</v>
      </c>
      <c r="BC46" s="111"/>
      <c r="BD46" s="123">
        <v>0.01</v>
      </c>
      <c r="BE46" s="113">
        <f>BD46*AA46</f>
        <v>7115300</v>
      </c>
    </row>
    <row r="47" spans="1:57">
      <c r="A47" s="63">
        <v>44</v>
      </c>
      <c r="B47" s="109">
        <v>46127</v>
      </c>
      <c r="C47" s="110">
        <v>1</v>
      </c>
      <c r="D47" s="63" t="s">
        <v>138</v>
      </c>
      <c r="E47" s="63" t="s">
        <v>189</v>
      </c>
      <c r="F47" s="63" t="s">
        <v>484</v>
      </c>
      <c r="G47" s="63" t="s">
        <v>485</v>
      </c>
      <c r="H47" s="63" t="s">
        <v>155</v>
      </c>
      <c r="I47" s="63" t="s">
        <v>191</v>
      </c>
      <c r="J47" s="63"/>
      <c r="K47" s="111" t="s">
        <v>102</v>
      </c>
      <c r="L47" s="63" t="s">
        <v>486</v>
      </c>
      <c r="M47" s="63" t="s">
        <v>123</v>
      </c>
      <c r="N47" s="63"/>
      <c r="O47" s="112">
        <v>0</v>
      </c>
      <c r="P47" s="113">
        <v>310000000</v>
      </c>
      <c r="Q47" s="113">
        <v>18600000</v>
      </c>
      <c r="R47" s="208"/>
      <c r="S47" s="113"/>
      <c r="T47" s="114"/>
      <c r="U47" s="115"/>
      <c r="V47" s="116">
        <v>18000000</v>
      </c>
      <c r="W47" s="113"/>
      <c r="X47" s="113">
        <v>273400000</v>
      </c>
      <c r="Y47" s="113">
        <v>273400000</v>
      </c>
      <c r="Z47" s="113">
        <f t="shared" si="4"/>
        <v>0</v>
      </c>
      <c r="AA47" s="113">
        <v>273400000</v>
      </c>
      <c r="AB47" s="113">
        <v>297600000</v>
      </c>
      <c r="AC47" s="117"/>
      <c r="AD47" s="118">
        <v>0.04</v>
      </c>
      <c r="AE47" s="118"/>
      <c r="AF47" s="119">
        <v>0</v>
      </c>
      <c r="AG47" s="63"/>
      <c r="AH47" s="118">
        <v>0.04</v>
      </c>
      <c r="AI47" s="63"/>
      <c r="AJ47" s="123"/>
      <c r="AK47" s="115">
        <f t="shared" si="5"/>
        <v>35136000</v>
      </c>
      <c r="AL47" s="113"/>
      <c r="AM47" s="114">
        <v>0</v>
      </c>
      <c r="AN47" s="113">
        <v>0</v>
      </c>
      <c r="AO47" s="113">
        <v>0</v>
      </c>
      <c r="AP47" s="113">
        <f t="shared" si="2"/>
        <v>0</v>
      </c>
      <c r="AQ47" s="113">
        <f t="shared" si="3"/>
        <v>35136000</v>
      </c>
      <c r="AR47" s="63"/>
      <c r="AS47" s="63"/>
      <c r="AT47" s="63"/>
      <c r="AU47" s="63"/>
      <c r="AV47" s="120" t="s">
        <v>393</v>
      </c>
      <c r="AW47" s="121"/>
      <c r="AX47" s="63"/>
      <c r="AY47" s="63"/>
      <c r="AZ47" s="63"/>
      <c r="BA47" s="63"/>
      <c r="BB47" s="122">
        <v>4497430</v>
      </c>
      <c r="BC47" s="111"/>
      <c r="BD47" s="123"/>
      <c r="BE47" s="113"/>
    </row>
    <row r="48" spans="1:57">
      <c r="A48" s="63">
        <v>45</v>
      </c>
      <c r="B48" s="109">
        <v>46127</v>
      </c>
      <c r="C48" s="110">
        <v>1</v>
      </c>
      <c r="D48" s="63" t="s">
        <v>138</v>
      </c>
      <c r="E48" s="63" t="s">
        <v>200</v>
      </c>
      <c r="F48" s="63" t="s">
        <v>487</v>
      </c>
      <c r="G48" s="63" t="s">
        <v>488</v>
      </c>
      <c r="H48" s="65" t="s">
        <v>58</v>
      </c>
      <c r="I48" s="63" t="s">
        <v>196</v>
      </c>
      <c r="J48" s="63"/>
      <c r="K48" s="111" t="s">
        <v>126</v>
      </c>
      <c r="L48" s="63" t="s">
        <v>489</v>
      </c>
      <c r="M48" s="63" t="s">
        <v>107</v>
      </c>
      <c r="N48" s="63"/>
      <c r="O48" s="112">
        <v>0</v>
      </c>
      <c r="P48" s="113">
        <v>305000000</v>
      </c>
      <c r="Q48" s="113"/>
      <c r="R48" s="208">
        <v>7.0000000000000007E-2</v>
      </c>
      <c r="S48" s="113"/>
      <c r="T48" s="114">
        <v>9150000</v>
      </c>
      <c r="U48" s="115"/>
      <c r="V48" s="116"/>
      <c r="W48" s="113"/>
      <c r="X48" s="113">
        <v>295850000</v>
      </c>
      <c r="Y48" s="113">
        <v>295850000</v>
      </c>
      <c r="Z48" s="113">
        <f t="shared" si="4"/>
        <v>0</v>
      </c>
      <c r="AA48" s="113">
        <v>295850000</v>
      </c>
      <c r="AB48" s="137">
        <v>292800000</v>
      </c>
      <c r="AC48" s="117"/>
      <c r="AD48" s="118">
        <v>0.04</v>
      </c>
      <c r="AE48" s="118"/>
      <c r="AF48" s="119">
        <v>0</v>
      </c>
      <c r="AG48" s="63"/>
      <c r="AH48" s="118">
        <v>0.04</v>
      </c>
      <c r="AI48" s="63"/>
      <c r="AJ48" s="123"/>
      <c r="AK48" s="115">
        <f t="shared" si="5"/>
        <v>8784000</v>
      </c>
      <c r="AL48" s="113"/>
      <c r="AM48" s="114">
        <v>0</v>
      </c>
      <c r="AN48" s="113">
        <v>0</v>
      </c>
      <c r="AO48" s="113">
        <v>0</v>
      </c>
      <c r="AP48" s="113">
        <f t="shared" si="2"/>
        <v>0</v>
      </c>
      <c r="AQ48" s="113">
        <f t="shared" si="3"/>
        <v>8784000</v>
      </c>
      <c r="AR48" s="63"/>
      <c r="AS48" s="63"/>
      <c r="AT48" s="63"/>
      <c r="AU48" s="63"/>
      <c r="AV48" s="120" t="s">
        <v>490</v>
      </c>
      <c r="AW48" s="121"/>
      <c r="AX48" s="63"/>
      <c r="AY48" s="63"/>
      <c r="AZ48" s="63"/>
      <c r="BA48" s="63"/>
      <c r="BB48" s="111">
        <v>4000000</v>
      </c>
      <c r="BC48" s="111"/>
      <c r="BD48" s="118">
        <v>0.01</v>
      </c>
      <c r="BE48" s="113">
        <f t="shared" ref="BE48:BE65" si="7">BD48*AA48</f>
        <v>2958500</v>
      </c>
    </row>
    <row r="49" spans="1:57">
      <c r="A49" s="63">
        <v>46</v>
      </c>
      <c r="B49" s="109">
        <v>46127</v>
      </c>
      <c r="C49" s="110">
        <v>1</v>
      </c>
      <c r="D49" s="63" t="s">
        <v>138</v>
      </c>
      <c r="E49" s="63" t="s">
        <v>139</v>
      </c>
      <c r="F49" s="63" t="s">
        <v>491</v>
      </c>
      <c r="G49" s="63" t="s">
        <v>492</v>
      </c>
      <c r="H49" s="63" t="s">
        <v>167</v>
      </c>
      <c r="I49" s="63" t="s">
        <v>140</v>
      </c>
      <c r="J49" s="63"/>
      <c r="K49" s="111" t="s">
        <v>119</v>
      </c>
      <c r="L49" s="63" t="s">
        <v>493</v>
      </c>
      <c r="M49" s="63" t="s">
        <v>107</v>
      </c>
      <c r="N49" s="63"/>
      <c r="O49" s="112">
        <v>0</v>
      </c>
      <c r="P49" s="113">
        <v>529000000</v>
      </c>
      <c r="Q49" s="113">
        <v>31740000</v>
      </c>
      <c r="R49" s="208"/>
      <c r="S49" s="113"/>
      <c r="T49" s="114"/>
      <c r="U49" s="115"/>
      <c r="V49" s="116"/>
      <c r="W49" s="116">
        <v>10000000</v>
      </c>
      <c r="X49" s="113">
        <v>487260000</v>
      </c>
      <c r="Y49" s="113">
        <v>487260000</v>
      </c>
      <c r="Z49" s="113">
        <f t="shared" si="4"/>
        <v>0</v>
      </c>
      <c r="AA49" s="113">
        <v>497260000</v>
      </c>
      <c r="AB49" s="113">
        <v>507840000</v>
      </c>
      <c r="AC49" s="117"/>
      <c r="AD49" s="118">
        <v>0.04</v>
      </c>
      <c r="AE49" s="118"/>
      <c r="AF49" s="119">
        <v>0</v>
      </c>
      <c r="AG49" s="63"/>
      <c r="AH49" s="118">
        <v>0.04</v>
      </c>
      <c r="AI49" s="63"/>
      <c r="AJ49" s="123"/>
      <c r="AK49" s="115">
        <f t="shared" si="5"/>
        <v>30470400</v>
      </c>
      <c r="AL49" s="113"/>
      <c r="AM49" s="114">
        <v>0</v>
      </c>
      <c r="AN49" s="113">
        <v>0</v>
      </c>
      <c r="AO49" s="113">
        <v>7000000</v>
      </c>
      <c r="AP49" s="113">
        <f t="shared" si="2"/>
        <v>3500000</v>
      </c>
      <c r="AQ49" s="113">
        <f t="shared" ref="AQ49:AQ112" si="8">SUM(AK49:AN49,AP49)</f>
        <v>33970400</v>
      </c>
      <c r="AR49" s="63"/>
      <c r="AS49" s="63"/>
      <c r="AT49" s="63"/>
      <c r="AU49" s="63"/>
      <c r="AV49" s="120" t="s">
        <v>494</v>
      </c>
      <c r="AW49" s="121"/>
      <c r="AX49" s="63"/>
      <c r="AY49" s="63"/>
      <c r="AZ49" s="63"/>
      <c r="BA49" s="63"/>
      <c r="BB49" s="122">
        <v>7663240</v>
      </c>
      <c r="BC49" s="111"/>
      <c r="BD49" s="118">
        <v>0.01</v>
      </c>
      <c r="BE49" s="113">
        <f t="shared" si="7"/>
        <v>4972600</v>
      </c>
    </row>
    <row r="50" spans="1:57">
      <c r="A50" s="63">
        <v>47</v>
      </c>
      <c r="B50" s="109">
        <v>46127</v>
      </c>
      <c r="C50" s="110">
        <v>1</v>
      </c>
      <c r="D50" s="63" t="s">
        <v>138</v>
      </c>
      <c r="E50" s="63" t="s">
        <v>187</v>
      </c>
      <c r="F50" s="63" t="s">
        <v>495</v>
      </c>
      <c r="G50" s="63" t="s">
        <v>496</v>
      </c>
      <c r="H50" s="63" t="s">
        <v>52</v>
      </c>
      <c r="I50" s="63" t="s">
        <v>114</v>
      </c>
      <c r="J50" s="63"/>
      <c r="K50" s="111" t="s">
        <v>114</v>
      </c>
      <c r="L50" s="63" t="s">
        <v>497</v>
      </c>
      <c r="M50" s="63" t="s">
        <v>107</v>
      </c>
      <c r="N50" s="63"/>
      <c r="O50" s="112">
        <v>0</v>
      </c>
      <c r="P50" s="113">
        <v>749000000</v>
      </c>
      <c r="Q50" s="113">
        <v>44940000</v>
      </c>
      <c r="R50" s="208"/>
      <c r="S50" s="113"/>
      <c r="T50" s="114"/>
      <c r="U50" s="115"/>
      <c r="V50" s="116"/>
      <c r="W50" s="116">
        <v>12000000</v>
      </c>
      <c r="X50" s="113">
        <v>692060000</v>
      </c>
      <c r="Y50" s="113">
        <v>692060000</v>
      </c>
      <c r="Z50" s="113">
        <f t="shared" ref="Z50:Z113" si="9">X50-Y50</f>
        <v>0</v>
      </c>
      <c r="AA50" s="113">
        <v>704060000</v>
      </c>
      <c r="AB50" s="113">
        <v>719040000</v>
      </c>
      <c r="AC50" s="117"/>
      <c r="AD50" s="118">
        <v>0.04</v>
      </c>
      <c r="AE50" s="118"/>
      <c r="AF50" s="119">
        <v>0</v>
      </c>
      <c r="AG50" s="63"/>
      <c r="AH50" s="118">
        <v>0.04</v>
      </c>
      <c r="AI50" s="63"/>
      <c r="AJ50" s="123"/>
      <c r="AK50" s="115">
        <f t="shared" si="5"/>
        <v>43142400</v>
      </c>
      <c r="AL50" s="113"/>
      <c r="AM50" s="114">
        <v>0</v>
      </c>
      <c r="AN50" s="113">
        <v>0</v>
      </c>
      <c r="AO50" s="113">
        <v>0</v>
      </c>
      <c r="AP50" s="113">
        <f t="shared" si="2"/>
        <v>0</v>
      </c>
      <c r="AQ50" s="113">
        <f t="shared" si="8"/>
        <v>43142400</v>
      </c>
      <c r="AR50" s="63"/>
      <c r="AS50" s="63"/>
      <c r="AT50" s="63"/>
      <c r="AU50" s="63"/>
      <c r="AV50" s="120" t="s">
        <v>498</v>
      </c>
      <c r="AW50" s="121"/>
      <c r="AX50" s="63"/>
      <c r="AY50" s="63"/>
      <c r="AZ50" s="63"/>
      <c r="BA50" s="63"/>
      <c r="BB50" s="111">
        <f>9688840+1198000</f>
        <v>10886840</v>
      </c>
      <c r="BC50" s="111"/>
      <c r="BD50" s="118">
        <v>0.01</v>
      </c>
      <c r="BE50" s="113">
        <f t="shared" si="7"/>
        <v>7040600</v>
      </c>
    </row>
    <row r="51" spans="1:57">
      <c r="A51" s="63">
        <v>48</v>
      </c>
      <c r="B51" s="109">
        <v>46127</v>
      </c>
      <c r="C51" s="110">
        <v>1</v>
      </c>
      <c r="D51" s="63" t="s">
        <v>138</v>
      </c>
      <c r="E51" s="63" t="s">
        <v>188</v>
      </c>
      <c r="F51" s="63" t="s">
        <v>499</v>
      </c>
      <c r="G51" s="63" t="s">
        <v>500</v>
      </c>
      <c r="H51" s="63" t="s">
        <v>117</v>
      </c>
      <c r="I51" s="63" t="s">
        <v>53</v>
      </c>
      <c r="J51" s="63"/>
      <c r="K51" s="111" t="s">
        <v>117</v>
      </c>
      <c r="L51" s="63" t="s">
        <v>501</v>
      </c>
      <c r="M51" s="63" t="s">
        <v>107</v>
      </c>
      <c r="N51" s="63"/>
      <c r="O51" s="112">
        <v>0</v>
      </c>
      <c r="P51" s="113">
        <v>819000000</v>
      </c>
      <c r="Q51" s="113">
        <v>49140000</v>
      </c>
      <c r="R51" s="208"/>
      <c r="S51" s="113"/>
      <c r="T51" s="114">
        <v>24570000</v>
      </c>
      <c r="U51" s="115"/>
      <c r="V51" s="116"/>
      <c r="W51" s="113"/>
      <c r="X51" s="113">
        <v>745290000</v>
      </c>
      <c r="Y51" s="113">
        <v>745290000</v>
      </c>
      <c r="Z51" s="113">
        <f t="shared" si="9"/>
        <v>0</v>
      </c>
      <c r="AA51" s="113">
        <v>745290000</v>
      </c>
      <c r="AB51" s="113">
        <v>786240000</v>
      </c>
      <c r="AC51" s="117"/>
      <c r="AD51" s="118">
        <v>0.04</v>
      </c>
      <c r="AE51" s="118"/>
      <c r="AF51" s="119">
        <v>0</v>
      </c>
      <c r="AG51" s="63"/>
      <c r="AH51" s="118">
        <v>0.04</v>
      </c>
      <c r="AI51" s="63"/>
      <c r="AJ51" s="123"/>
      <c r="AK51" s="115">
        <f t="shared" si="5"/>
        <v>70761600</v>
      </c>
      <c r="AL51" s="113"/>
      <c r="AM51" s="114">
        <v>0</v>
      </c>
      <c r="AN51" s="113">
        <v>15000000</v>
      </c>
      <c r="AO51" s="113">
        <v>0</v>
      </c>
      <c r="AP51" s="113">
        <f t="shared" si="2"/>
        <v>0</v>
      </c>
      <c r="AQ51" s="113">
        <f t="shared" si="8"/>
        <v>85761600</v>
      </c>
      <c r="AR51" s="63"/>
      <c r="AS51" s="63"/>
      <c r="AT51" s="63"/>
      <c r="AU51" s="63"/>
      <c r="AV51" s="120" t="s">
        <v>502</v>
      </c>
      <c r="AW51" s="121"/>
      <c r="AX51" s="63"/>
      <c r="AY51" s="63"/>
      <c r="AZ51" s="63"/>
      <c r="BA51" s="63"/>
      <c r="BB51" s="122">
        <f>943400+ 8385000</f>
        <v>9328400</v>
      </c>
      <c r="BC51" s="111"/>
      <c r="BD51" s="118">
        <v>0.01</v>
      </c>
      <c r="BE51" s="113">
        <f t="shared" si="7"/>
        <v>7452900</v>
      </c>
    </row>
    <row r="52" spans="1:57">
      <c r="A52" s="63">
        <v>49</v>
      </c>
      <c r="B52" s="109">
        <v>46127</v>
      </c>
      <c r="C52" s="110">
        <v>1</v>
      </c>
      <c r="D52" s="63" t="s">
        <v>138</v>
      </c>
      <c r="E52" s="63" t="s">
        <v>144</v>
      </c>
      <c r="F52" s="63" t="s">
        <v>503</v>
      </c>
      <c r="G52" s="63" t="s">
        <v>504</v>
      </c>
      <c r="H52" s="63" t="s">
        <v>52</v>
      </c>
      <c r="I52" s="63" t="s">
        <v>114</v>
      </c>
      <c r="J52" s="63"/>
      <c r="K52" s="111" t="s">
        <v>114</v>
      </c>
      <c r="L52" s="63" t="s">
        <v>505</v>
      </c>
      <c r="M52" s="63" t="s">
        <v>107</v>
      </c>
      <c r="N52" s="63"/>
      <c r="O52" s="112">
        <v>0</v>
      </c>
      <c r="P52" s="113">
        <v>749000000</v>
      </c>
      <c r="Q52" s="113">
        <v>44940000</v>
      </c>
      <c r="R52" s="208"/>
      <c r="S52" s="113"/>
      <c r="T52" s="114"/>
      <c r="U52" s="115"/>
      <c r="V52" s="116"/>
      <c r="W52" s="113"/>
      <c r="X52" s="113">
        <v>704060000</v>
      </c>
      <c r="Y52" s="113">
        <v>704060000</v>
      </c>
      <c r="Z52" s="113">
        <f t="shared" si="9"/>
        <v>0</v>
      </c>
      <c r="AA52" s="113">
        <v>704060000</v>
      </c>
      <c r="AB52" s="113">
        <v>719040000</v>
      </c>
      <c r="AC52" s="117"/>
      <c r="AD52" s="118">
        <v>0.04</v>
      </c>
      <c r="AE52" s="118"/>
      <c r="AF52" s="119">
        <v>0</v>
      </c>
      <c r="AG52" s="63"/>
      <c r="AH52" s="118">
        <v>0.04</v>
      </c>
      <c r="AI52" s="63"/>
      <c r="AJ52" s="123"/>
      <c r="AK52" s="115">
        <f t="shared" si="5"/>
        <v>43142400</v>
      </c>
      <c r="AL52" s="113"/>
      <c r="AM52" s="114">
        <v>0</v>
      </c>
      <c r="AN52" s="113">
        <v>0</v>
      </c>
      <c r="AO52" s="113">
        <v>0</v>
      </c>
      <c r="AP52" s="113">
        <f t="shared" si="2"/>
        <v>0</v>
      </c>
      <c r="AQ52" s="113">
        <f t="shared" si="8"/>
        <v>43142400</v>
      </c>
      <c r="AR52" s="63"/>
      <c r="AS52" s="63"/>
      <c r="AT52" s="63"/>
      <c r="AU52" s="63"/>
      <c r="AV52" s="120" t="s">
        <v>431</v>
      </c>
      <c r="AW52" s="121"/>
      <c r="AX52" s="63"/>
      <c r="AY52" s="63"/>
      <c r="AZ52" s="63"/>
      <c r="BA52" s="63"/>
      <c r="BB52" s="122">
        <v>9856840</v>
      </c>
      <c r="BC52" s="111"/>
      <c r="BD52" s="118">
        <v>0.01</v>
      </c>
      <c r="BE52" s="113">
        <f t="shared" si="7"/>
        <v>7040600</v>
      </c>
    </row>
    <row r="53" spans="1:57">
      <c r="A53" s="63">
        <v>50</v>
      </c>
      <c r="B53" s="109">
        <v>46127</v>
      </c>
      <c r="C53" s="110">
        <v>1</v>
      </c>
      <c r="D53" s="63" t="s">
        <v>138</v>
      </c>
      <c r="E53" s="63" t="s">
        <v>139</v>
      </c>
      <c r="F53" s="63" t="s">
        <v>506</v>
      </c>
      <c r="G53" s="63" t="s">
        <v>507</v>
      </c>
      <c r="H53" s="63" t="s">
        <v>155</v>
      </c>
      <c r="I53" s="63" t="s">
        <v>140</v>
      </c>
      <c r="J53" s="63"/>
      <c r="K53" s="111" t="s">
        <v>106</v>
      </c>
      <c r="L53" s="63" t="s">
        <v>508</v>
      </c>
      <c r="M53" s="63" t="s">
        <v>107</v>
      </c>
      <c r="N53" s="63"/>
      <c r="O53" s="112">
        <v>0</v>
      </c>
      <c r="P53" s="113">
        <v>315000000</v>
      </c>
      <c r="Q53" s="113">
        <v>18900000</v>
      </c>
      <c r="R53" s="208"/>
      <c r="S53" s="113"/>
      <c r="T53" s="114"/>
      <c r="U53" s="115"/>
      <c r="V53" s="116"/>
      <c r="W53" s="116">
        <v>3000000</v>
      </c>
      <c r="X53" s="113">
        <v>293100000</v>
      </c>
      <c r="Y53" s="113">
        <v>293100000</v>
      </c>
      <c r="Z53" s="113">
        <f t="shared" si="9"/>
        <v>0</v>
      </c>
      <c r="AA53" s="113">
        <v>296100000</v>
      </c>
      <c r="AB53" s="113">
        <v>302400000</v>
      </c>
      <c r="AC53" s="117"/>
      <c r="AD53" s="118">
        <v>0.04</v>
      </c>
      <c r="AE53" s="118"/>
      <c r="AF53" s="119">
        <v>0</v>
      </c>
      <c r="AG53" s="63"/>
      <c r="AH53" s="118">
        <v>0.04</v>
      </c>
      <c r="AI53" s="63"/>
      <c r="AJ53" s="123"/>
      <c r="AK53" s="115">
        <f t="shared" si="5"/>
        <v>18144000</v>
      </c>
      <c r="AL53" s="113"/>
      <c r="AM53" s="114">
        <v>0</v>
      </c>
      <c r="AN53" s="113">
        <v>0</v>
      </c>
      <c r="AO53" s="113">
        <v>0</v>
      </c>
      <c r="AP53" s="113">
        <f t="shared" si="2"/>
        <v>0</v>
      </c>
      <c r="AQ53" s="113">
        <f t="shared" si="8"/>
        <v>18144000</v>
      </c>
      <c r="AR53" s="63"/>
      <c r="AS53" s="63"/>
      <c r="AT53" s="63"/>
      <c r="AU53" s="63"/>
      <c r="AV53" s="120"/>
      <c r="AW53" s="121"/>
      <c r="AX53" s="63"/>
      <c r="AY53" s="63"/>
      <c r="AZ53" s="63"/>
      <c r="BA53" s="63"/>
      <c r="BB53" s="111"/>
      <c r="BC53" s="111"/>
      <c r="BD53" s="118">
        <v>0.01</v>
      </c>
      <c r="BE53" s="113">
        <f t="shared" si="7"/>
        <v>2961000</v>
      </c>
    </row>
    <row r="54" spans="1:57">
      <c r="A54" s="63">
        <v>51</v>
      </c>
      <c r="B54" s="109">
        <v>46127</v>
      </c>
      <c r="C54" s="110">
        <v>1</v>
      </c>
      <c r="D54" s="63" t="s">
        <v>138</v>
      </c>
      <c r="E54" s="63" t="s">
        <v>139</v>
      </c>
      <c r="F54" s="63" t="s">
        <v>509</v>
      </c>
      <c r="G54" s="63" t="s">
        <v>510</v>
      </c>
      <c r="H54" s="63" t="s">
        <v>155</v>
      </c>
      <c r="I54" s="63" t="s">
        <v>191</v>
      </c>
      <c r="J54" s="63"/>
      <c r="K54" s="111" t="s">
        <v>108</v>
      </c>
      <c r="L54" s="63" t="s">
        <v>511</v>
      </c>
      <c r="M54" s="63" t="s">
        <v>107</v>
      </c>
      <c r="N54" s="63"/>
      <c r="O54" s="112">
        <v>0</v>
      </c>
      <c r="P54" s="113">
        <v>302000000</v>
      </c>
      <c r="Q54" s="113">
        <v>18120000</v>
      </c>
      <c r="R54" s="208"/>
      <c r="S54" s="113"/>
      <c r="T54" s="114"/>
      <c r="U54" s="115"/>
      <c r="V54" s="116"/>
      <c r="W54" s="113"/>
      <c r="X54" s="113">
        <v>283880000</v>
      </c>
      <c r="Y54" s="113">
        <v>283880000</v>
      </c>
      <c r="Z54" s="113">
        <f t="shared" si="9"/>
        <v>0</v>
      </c>
      <c r="AA54" s="113">
        <v>283880000</v>
      </c>
      <c r="AB54" s="113">
        <v>289920000</v>
      </c>
      <c r="AC54" s="117"/>
      <c r="AD54" s="118">
        <v>0.04</v>
      </c>
      <c r="AE54" s="118"/>
      <c r="AF54" s="119">
        <v>0</v>
      </c>
      <c r="AG54" s="63"/>
      <c r="AH54" s="118">
        <v>0.04</v>
      </c>
      <c r="AI54" s="63"/>
      <c r="AJ54" s="123"/>
      <c r="AK54" s="115">
        <f t="shared" si="5"/>
        <v>17395200</v>
      </c>
      <c r="AL54" s="113"/>
      <c r="AM54" s="114">
        <v>0</v>
      </c>
      <c r="AN54" s="113">
        <v>0</v>
      </c>
      <c r="AO54" s="113">
        <v>0</v>
      </c>
      <c r="AP54" s="113">
        <f t="shared" si="2"/>
        <v>0</v>
      </c>
      <c r="AQ54" s="113">
        <f t="shared" si="8"/>
        <v>17395200</v>
      </c>
      <c r="AR54" s="63"/>
      <c r="AS54" s="63"/>
      <c r="AT54" s="63"/>
      <c r="AU54" s="63"/>
      <c r="AV54" s="120" t="s">
        <v>512</v>
      </c>
      <c r="AW54" s="121"/>
      <c r="AX54" s="63"/>
      <c r="AY54" s="63"/>
      <c r="AZ54" s="63"/>
      <c r="BA54" s="63"/>
      <c r="BB54" s="111">
        <f>5535660+520300</f>
        <v>6055960</v>
      </c>
      <c r="BC54" s="111"/>
      <c r="BD54" s="118">
        <v>0.01</v>
      </c>
      <c r="BE54" s="113">
        <f t="shared" si="7"/>
        <v>2838800</v>
      </c>
    </row>
    <row r="55" spans="1:57">
      <c r="A55" s="63">
        <v>52</v>
      </c>
      <c r="B55" s="109">
        <v>46127</v>
      </c>
      <c r="C55" s="110">
        <v>1</v>
      </c>
      <c r="D55" s="63" t="s">
        <v>138</v>
      </c>
      <c r="E55" s="63" t="s">
        <v>141</v>
      </c>
      <c r="F55" s="63" t="s">
        <v>513</v>
      </c>
      <c r="G55" s="63" t="s">
        <v>514</v>
      </c>
      <c r="H55" s="63" t="s">
        <v>167</v>
      </c>
      <c r="I55" s="63" t="s">
        <v>140</v>
      </c>
      <c r="J55" s="63"/>
      <c r="K55" s="111" t="s">
        <v>119</v>
      </c>
      <c r="L55" s="63" t="s">
        <v>515</v>
      </c>
      <c r="M55" s="63" t="s">
        <v>107</v>
      </c>
      <c r="N55" s="63"/>
      <c r="O55" s="112">
        <v>0</v>
      </c>
      <c r="P55" s="113">
        <v>529000000</v>
      </c>
      <c r="Q55" s="113">
        <v>31740000</v>
      </c>
      <c r="R55" s="208"/>
      <c r="S55" s="113"/>
      <c r="T55" s="114"/>
      <c r="U55" s="138">
        <v>0.05</v>
      </c>
      <c r="V55" s="116"/>
      <c r="W55" s="113"/>
      <c r="X55" s="113">
        <v>470810000</v>
      </c>
      <c r="Y55" s="113">
        <v>470810000</v>
      </c>
      <c r="Z55" s="113">
        <f t="shared" si="9"/>
        <v>0</v>
      </c>
      <c r="AA55" s="113">
        <v>470810000</v>
      </c>
      <c r="AB55" s="113">
        <v>507840000</v>
      </c>
      <c r="AC55" s="117"/>
      <c r="AD55" s="118">
        <v>0.04</v>
      </c>
      <c r="AE55" s="118"/>
      <c r="AF55" s="119">
        <v>0</v>
      </c>
      <c r="AG55" s="63"/>
      <c r="AH55" s="118">
        <v>0.04</v>
      </c>
      <c r="AI55" s="63"/>
      <c r="AJ55" s="123">
        <v>2.5000000000000001E-2</v>
      </c>
      <c r="AK55" s="115">
        <f t="shared" si="5"/>
        <v>42637400</v>
      </c>
      <c r="AL55" s="113"/>
      <c r="AM55" s="114">
        <v>0</v>
      </c>
      <c r="AN55" s="113">
        <v>0</v>
      </c>
      <c r="AO55" s="113">
        <v>0</v>
      </c>
      <c r="AP55" s="113">
        <f t="shared" si="2"/>
        <v>0</v>
      </c>
      <c r="AQ55" s="113">
        <f t="shared" si="8"/>
        <v>42637400</v>
      </c>
      <c r="AR55" s="63"/>
      <c r="AS55" s="63"/>
      <c r="AT55" s="63"/>
      <c r="AU55" s="63"/>
      <c r="AV55" s="120"/>
      <c r="AW55" s="121"/>
      <c r="AX55" s="63"/>
      <c r="AY55" s="63"/>
      <c r="AZ55" s="63"/>
      <c r="BA55" s="63"/>
      <c r="BB55" s="111"/>
      <c r="BC55" s="111"/>
      <c r="BD55" s="118">
        <v>0.01</v>
      </c>
      <c r="BE55" s="113">
        <f t="shared" si="7"/>
        <v>4708100</v>
      </c>
    </row>
    <row r="56" spans="1:57">
      <c r="A56" s="63">
        <v>53</v>
      </c>
      <c r="B56" s="109">
        <v>46127</v>
      </c>
      <c r="C56" s="110">
        <v>1</v>
      </c>
      <c r="D56" s="63" t="s">
        <v>138</v>
      </c>
      <c r="E56" s="63" t="s">
        <v>201</v>
      </c>
      <c r="F56" s="63" t="s">
        <v>516</v>
      </c>
      <c r="G56" s="63" t="s">
        <v>517</v>
      </c>
      <c r="H56" s="63" t="s">
        <v>52</v>
      </c>
      <c r="I56" s="63" t="s">
        <v>114</v>
      </c>
      <c r="J56" s="63"/>
      <c r="K56" s="111" t="s">
        <v>114</v>
      </c>
      <c r="L56" s="63" t="s">
        <v>518</v>
      </c>
      <c r="M56" s="63" t="s">
        <v>107</v>
      </c>
      <c r="N56" s="63"/>
      <c r="O56" s="112">
        <v>0</v>
      </c>
      <c r="P56" s="113">
        <v>749000000</v>
      </c>
      <c r="Q56" s="113">
        <v>44940000</v>
      </c>
      <c r="R56" s="208"/>
      <c r="S56" s="113"/>
      <c r="T56" s="114"/>
      <c r="U56" s="115"/>
      <c r="V56" s="116"/>
      <c r="W56" s="116">
        <v>12000000</v>
      </c>
      <c r="X56" s="113">
        <v>692060000</v>
      </c>
      <c r="Y56" s="113">
        <v>692060000</v>
      </c>
      <c r="Z56" s="113">
        <f t="shared" si="9"/>
        <v>0</v>
      </c>
      <c r="AA56" s="113">
        <v>704060000</v>
      </c>
      <c r="AB56" s="113">
        <v>719040000</v>
      </c>
      <c r="AC56" s="117"/>
      <c r="AD56" s="118">
        <v>0.04</v>
      </c>
      <c r="AE56" s="118"/>
      <c r="AF56" s="119">
        <v>0</v>
      </c>
      <c r="AG56" s="63"/>
      <c r="AH56" s="118">
        <v>0.04</v>
      </c>
      <c r="AI56" s="63"/>
      <c r="AJ56" s="123"/>
      <c r="AK56" s="115">
        <f t="shared" si="5"/>
        <v>43142400</v>
      </c>
      <c r="AL56" s="113"/>
      <c r="AM56" s="114">
        <v>0</v>
      </c>
      <c r="AN56" s="113">
        <v>0</v>
      </c>
      <c r="AO56" s="113">
        <v>0</v>
      </c>
      <c r="AP56" s="113">
        <f t="shared" si="2"/>
        <v>0</v>
      </c>
      <c r="AQ56" s="113">
        <f t="shared" si="8"/>
        <v>43142400</v>
      </c>
      <c r="AR56" s="63"/>
      <c r="AS56" s="63"/>
      <c r="AT56" s="63"/>
      <c r="AU56" s="63"/>
      <c r="AV56" s="120" t="s">
        <v>519</v>
      </c>
      <c r="AW56" s="121"/>
      <c r="AX56" s="63"/>
      <c r="AY56" s="63"/>
      <c r="AZ56" s="63"/>
      <c r="BA56" s="63"/>
      <c r="BB56" s="122">
        <f>9688840+1198000</f>
        <v>10886840</v>
      </c>
      <c r="BC56" s="111"/>
      <c r="BD56" s="118">
        <v>0.01</v>
      </c>
      <c r="BE56" s="113">
        <f t="shared" si="7"/>
        <v>7040600</v>
      </c>
    </row>
    <row r="57" spans="1:57">
      <c r="A57" s="63">
        <v>54</v>
      </c>
      <c r="B57" s="109">
        <v>46127</v>
      </c>
      <c r="C57" s="110">
        <v>1</v>
      </c>
      <c r="D57" s="63" t="s">
        <v>138</v>
      </c>
      <c r="E57" s="63" t="s">
        <v>194</v>
      </c>
      <c r="F57" s="63" t="s">
        <v>520</v>
      </c>
      <c r="G57" s="63" t="s">
        <v>521</v>
      </c>
      <c r="H57" s="63" t="s">
        <v>155</v>
      </c>
      <c r="I57" s="63" t="s">
        <v>140</v>
      </c>
      <c r="J57" s="63"/>
      <c r="K57" s="111" t="s">
        <v>106</v>
      </c>
      <c r="L57" s="63" t="s">
        <v>522</v>
      </c>
      <c r="M57" s="63" t="s">
        <v>107</v>
      </c>
      <c r="N57" s="63"/>
      <c r="O57" s="112">
        <v>0</v>
      </c>
      <c r="P57" s="113">
        <v>315000000</v>
      </c>
      <c r="Q57" s="113">
        <v>18900000</v>
      </c>
      <c r="R57" s="208"/>
      <c r="S57" s="113"/>
      <c r="T57" s="114"/>
      <c r="U57" s="115"/>
      <c r="V57" s="116"/>
      <c r="W57" s="116">
        <v>6000000</v>
      </c>
      <c r="X57" s="113">
        <v>290100000</v>
      </c>
      <c r="Y57" s="113">
        <v>290100000</v>
      </c>
      <c r="Z57" s="113">
        <f t="shared" si="9"/>
        <v>0</v>
      </c>
      <c r="AA57" s="113">
        <v>296100000</v>
      </c>
      <c r="AB57" s="113">
        <v>302400000</v>
      </c>
      <c r="AC57" s="117"/>
      <c r="AD57" s="118">
        <v>0.04</v>
      </c>
      <c r="AE57" s="118"/>
      <c r="AF57" s="119">
        <v>0</v>
      </c>
      <c r="AG57" s="63"/>
      <c r="AH57" s="118">
        <v>0.04</v>
      </c>
      <c r="AI57" s="63"/>
      <c r="AJ57" s="123"/>
      <c r="AK57" s="115">
        <f t="shared" si="5"/>
        <v>18144000</v>
      </c>
      <c r="AL57" s="113"/>
      <c r="AM57" s="114">
        <v>0</v>
      </c>
      <c r="AN57" s="113">
        <v>0</v>
      </c>
      <c r="AO57" s="113">
        <v>0</v>
      </c>
      <c r="AP57" s="113">
        <f t="shared" si="2"/>
        <v>0</v>
      </c>
      <c r="AQ57" s="113">
        <f t="shared" si="8"/>
        <v>18144000</v>
      </c>
      <c r="AR57" s="63"/>
      <c r="AS57" s="63"/>
      <c r="AT57" s="63"/>
      <c r="AU57" s="63"/>
      <c r="AV57" s="120"/>
      <c r="AW57" s="121"/>
      <c r="AX57" s="63"/>
      <c r="AY57" s="63"/>
      <c r="AZ57" s="63"/>
      <c r="BA57" s="63"/>
      <c r="BB57" s="111"/>
      <c r="BC57" s="111"/>
      <c r="BD57" s="118">
        <v>0.01</v>
      </c>
      <c r="BE57" s="113">
        <f t="shared" si="7"/>
        <v>2961000</v>
      </c>
    </row>
    <row r="58" spans="1:57">
      <c r="A58" s="63">
        <v>55</v>
      </c>
      <c r="B58" s="109">
        <v>46127</v>
      </c>
      <c r="C58" s="110">
        <v>1</v>
      </c>
      <c r="D58" s="63" t="s">
        <v>138</v>
      </c>
      <c r="E58" s="63" t="s">
        <v>193</v>
      </c>
      <c r="F58" s="63" t="s">
        <v>523</v>
      </c>
      <c r="G58" s="63" t="s">
        <v>524</v>
      </c>
      <c r="H58" s="63" t="s">
        <v>155</v>
      </c>
      <c r="I58" s="63" t="s">
        <v>140</v>
      </c>
      <c r="J58" s="63"/>
      <c r="K58" s="111" t="s">
        <v>106</v>
      </c>
      <c r="L58" s="63" t="s">
        <v>525</v>
      </c>
      <c r="M58" s="63" t="s">
        <v>107</v>
      </c>
      <c r="N58" s="63"/>
      <c r="O58" s="112">
        <v>0</v>
      </c>
      <c r="P58" s="113">
        <v>315000000</v>
      </c>
      <c r="Q58" s="113">
        <v>18900000</v>
      </c>
      <c r="R58" s="208"/>
      <c r="S58" s="113"/>
      <c r="T58" s="114"/>
      <c r="U58" s="115"/>
      <c r="V58" s="116"/>
      <c r="W58" s="116">
        <v>6000000</v>
      </c>
      <c r="X58" s="113">
        <v>290100000</v>
      </c>
      <c r="Y58" s="113">
        <v>290100000</v>
      </c>
      <c r="Z58" s="113">
        <f t="shared" si="9"/>
        <v>0</v>
      </c>
      <c r="AA58" s="113">
        <v>296100000</v>
      </c>
      <c r="AB58" s="113">
        <v>302400000</v>
      </c>
      <c r="AC58" s="117"/>
      <c r="AD58" s="118">
        <v>0.04</v>
      </c>
      <c r="AE58" s="118"/>
      <c r="AF58" s="119">
        <v>0</v>
      </c>
      <c r="AG58" s="63"/>
      <c r="AH58" s="118">
        <v>0.04</v>
      </c>
      <c r="AI58" s="63"/>
      <c r="AJ58" s="123"/>
      <c r="AK58" s="115">
        <f t="shared" si="5"/>
        <v>18144000</v>
      </c>
      <c r="AL58" s="113"/>
      <c r="AM58" s="114">
        <v>0</v>
      </c>
      <c r="AN58" s="113">
        <v>0</v>
      </c>
      <c r="AO58" s="113">
        <v>0</v>
      </c>
      <c r="AP58" s="113">
        <f t="shared" si="2"/>
        <v>0</v>
      </c>
      <c r="AQ58" s="113">
        <f t="shared" si="8"/>
        <v>18144000</v>
      </c>
      <c r="AR58" s="63"/>
      <c r="AS58" s="63"/>
      <c r="AT58" s="63"/>
      <c r="AU58" s="63"/>
      <c r="AV58" s="120" t="s">
        <v>526</v>
      </c>
      <c r="AW58" s="121"/>
      <c r="AX58" s="63"/>
      <c r="AY58" s="63"/>
      <c r="AZ58" s="63"/>
      <c r="BA58" s="63"/>
      <c r="BB58" s="111">
        <v>5000000</v>
      </c>
      <c r="BC58" s="111"/>
      <c r="BD58" s="118">
        <v>0.01</v>
      </c>
      <c r="BE58" s="113">
        <f t="shared" si="7"/>
        <v>2961000</v>
      </c>
    </row>
    <row r="59" spans="1:57">
      <c r="A59" s="63">
        <v>56</v>
      </c>
      <c r="B59" s="109">
        <v>46127</v>
      </c>
      <c r="C59" s="110">
        <v>1</v>
      </c>
      <c r="D59" s="63" t="s">
        <v>138</v>
      </c>
      <c r="E59" s="63" t="s">
        <v>187</v>
      </c>
      <c r="F59" s="63" t="s">
        <v>527</v>
      </c>
      <c r="G59" s="63" t="s">
        <v>528</v>
      </c>
      <c r="H59" s="63" t="s">
        <v>52</v>
      </c>
      <c r="I59" s="63" t="s">
        <v>114</v>
      </c>
      <c r="J59" s="63"/>
      <c r="K59" s="111" t="s">
        <v>114</v>
      </c>
      <c r="L59" s="63" t="s">
        <v>529</v>
      </c>
      <c r="M59" s="63" t="s">
        <v>107</v>
      </c>
      <c r="N59" s="63"/>
      <c r="O59" s="112">
        <v>0</v>
      </c>
      <c r="P59" s="113">
        <v>749000000</v>
      </c>
      <c r="Q59" s="113">
        <v>44940000</v>
      </c>
      <c r="R59" s="208"/>
      <c r="S59" s="113"/>
      <c r="T59" s="114">
        <v>22470000</v>
      </c>
      <c r="U59" s="115"/>
      <c r="V59" s="116"/>
      <c r="W59" s="113"/>
      <c r="X59" s="113">
        <v>681590000</v>
      </c>
      <c r="Y59" s="113">
        <v>681590000</v>
      </c>
      <c r="Z59" s="113">
        <f t="shared" si="9"/>
        <v>0</v>
      </c>
      <c r="AA59" s="113">
        <v>681590000</v>
      </c>
      <c r="AB59" s="113">
        <v>719040000</v>
      </c>
      <c r="AC59" s="117"/>
      <c r="AD59" s="118">
        <v>0.04</v>
      </c>
      <c r="AE59" s="118"/>
      <c r="AF59" s="119">
        <v>0</v>
      </c>
      <c r="AG59" s="63"/>
      <c r="AH59" s="118">
        <v>0.04</v>
      </c>
      <c r="AI59" s="63"/>
      <c r="AJ59" s="123"/>
      <c r="AK59" s="115">
        <f t="shared" si="5"/>
        <v>64713600</v>
      </c>
      <c r="AL59" s="113"/>
      <c r="AM59" s="114">
        <v>0</v>
      </c>
      <c r="AN59" s="113">
        <v>0</v>
      </c>
      <c r="AO59" s="113">
        <v>0</v>
      </c>
      <c r="AP59" s="113">
        <f t="shared" si="2"/>
        <v>0</v>
      </c>
      <c r="AQ59" s="113">
        <f t="shared" si="8"/>
        <v>64713600</v>
      </c>
      <c r="AR59" s="63"/>
      <c r="AS59" s="63"/>
      <c r="AT59" s="63"/>
      <c r="AU59" s="63"/>
      <c r="AV59" s="120" t="s">
        <v>530</v>
      </c>
      <c r="AW59" s="121"/>
      <c r="AX59" s="63"/>
      <c r="AY59" s="63"/>
      <c r="AZ59" s="63"/>
      <c r="BA59" s="63"/>
      <c r="BB59" s="122">
        <v>11790000</v>
      </c>
      <c r="BC59" s="111"/>
      <c r="BD59" s="118">
        <v>0.01</v>
      </c>
      <c r="BE59" s="113">
        <f t="shared" si="7"/>
        <v>6815900</v>
      </c>
    </row>
    <row r="60" spans="1:57">
      <c r="A60" s="63">
        <v>57</v>
      </c>
      <c r="B60" s="109">
        <v>46127</v>
      </c>
      <c r="C60" s="110">
        <v>1</v>
      </c>
      <c r="D60" s="63" t="s">
        <v>138</v>
      </c>
      <c r="E60" s="63" t="s">
        <v>145</v>
      </c>
      <c r="F60" s="63" t="s">
        <v>531</v>
      </c>
      <c r="G60" s="63" t="s">
        <v>532</v>
      </c>
      <c r="H60" s="63" t="s">
        <v>52</v>
      </c>
      <c r="I60" s="63" t="s">
        <v>114</v>
      </c>
      <c r="J60" s="63"/>
      <c r="K60" s="111" t="s">
        <v>114</v>
      </c>
      <c r="L60" s="63" t="s">
        <v>533</v>
      </c>
      <c r="M60" s="63" t="s">
        <v>107</v>
      </c>
      <c r="N60" s="63"/>
      <c r="O60" s="112">
        <v>0</v>
      </c>
      <c r="P60" s="113">
        <v>749000000</v>
      </c>
      <c r="Q60" s="113">
        <v>44940000</v>
      </c>
      <c r="R60" s="208"/>
      <c r="S60" s="113"/>
      <c r="T60" s="114"/>
      <c r="U60" s="115"/>
      <c r="V60" s="116"/>
      <c r="W60" s="116">
        <v>10000000</v>
      </c>
      <c r="X60" s="113">
        <v>694060000</v>
      </c>
      <c r="Y60" s="113">
        <v>694060000</v>
      </c>
      <c r="Z60" s="113">
        <f t="shared" si="9"/>
        <v>0</v>
      </c>
      <c r="AA60" s="113">
        <v>704060000</v>
      </c>
      <c r="AB60" s="113">
        <v>719040000</v>
      </c>
      <c r="AC60" s="117"/>
      <c r="AD60" s="118">
        <v>0.04</v>
      </c>
      <c r="AE60" s="118"/>
      <c r="AF60" s="119">
        <v>0</v>
      </c>
      <c r="AG60" s="63"/>
      <c r="AH60" s="118">
        <v>0.04</v>
      </c>
      <c r="AI60" s="63"/>
      <c r="AJ60" s="123"/>
      <c r="AK60" s="115">
        <f t="shared" si="5"/>
        <v>43142400</v>
      </c>
      <c r="AL60" s="113"/>
      <c r="AM60" s="114">
        <v>0</v>
      </c>
      <c r="AN60" s="113">
        <v>0</v>
      </c>
      <c r="AO60" s="113">
        <v>0</v>
      </c>
      <c r="AP60" s="113">
        <f t="shared" si="2"/>
        <v>0</v>
      </c>
      <c r="AQ60" s="113">
        <f t="shared" si="8"/>
        <v>43142400</v>
      </c>
      <c r="AR60" s="63"/>
      <c r="AS60" s="63"/>
      <c r="AT60" s="63"/>
      <c r="AU60" s="63"/>
      <c r="AV60" s="120" t="s">
        <v>431</v>
      </c>
      <c r="AW60" s="121"/>
      <c r="AX60" s="63"/>
      <c r="AY60" s="63"/>
      <c r="AZ60" s="63"/>
      <c r="BA60" s="63"/>
      <c r="BB60" s="122">
        <v>9716840</v>
      </c>
      <c r="BC60" s="111"/>
      <c r="BD60" s="118">
        <v>0.01</v>
      </c>
      <c r="BE60" s="113">
        <f t="shared" si="7"/>
        <v>7040600</v>
      </c>
    </row>
    <row r="61" spans="1:57">
      <c r="A61" s="63">
        <v>58</v>
      </c>
      <c r="B61" s="109">
        <v>46127</v>
      </c>
      <c r="C61" s="110">
        <v>1</v>
      </c>
      <c r="D61" s="63" t="s">
        <v>138</v>
      </c>
      <c r="E61" s="63" t="s">
        <v>188</v>
      </c>
      <c r="F61" s="63" t="s">
        <v>534</v>
      </c>
      <c r="G61" s="63" t="s">
        <v>535</v>
      </c>
      <c r="H61" s="63" t="s">
        <v>52</v>
      </c>
      <c r="I61" s="63" t="s">
        <v>114</v>
      </c>
      <c r="J61" s="63"/>
      <c r="K61" s="111" t="s">
        <v>114</v>
      </c>
      <c r="L61" s="63" t="s">
        <v>536</v>
      </c>
      <c r="M61" s="63" t="s">
        <v>107</v>
      </c>
      <c r="N61" s="63"/>
      <c r="O61" s="112">
        <v>0</v>
      </c>
      <c r="P61" s="113">
        <v>749000000</v>
      </c>
      <c r="Q61" s="113">
        <v>44940000</v>
      </c>
      <c r="R61" s="208"/>
      <c r="S61" s="113"/>
      <c r="T61" s="114"/>
      <c r="U61" s="115"/>
      <c r="V61" s="116"/>
      <c r="W61" s="116">
        <v>3000000</v>
      </c>
      <c r="X61" s="113">
        <v>701060000</v>
      </c>
      <c r="Y61" s="113">
        <v>701060000</v>
      </c>
      <c r="Z61" s="113">
        <f t="shared" si="9"/>
        <v>0</v>
      </c>
      <c r="AA61" s="113">
        <v>704060000</v>
      </c>
      <c r="AB61" s="113">
        <v>719040000</v>
      </c>
      <c r="AC61" s="117"/>
      <c r="AD61" s="118">
        <v>0.04</v>
      </c>
      <c r="AE61" s="118"/>
      <c r="AF61" s="119">
        <v>0</v>
      </c>
      <c r="AG61" s="63"/>
      <c r="AH61" s="118">
        <v>0.04</v>
      </c>
      <c r="AI61" s="63"/>
      <c r="AJ61" s="123"/>
      <c r="AK61" s="115">
        <f t="shared" si="5"/>
        <v>43142400</v>
      </c>
      <c r="AL61" s="113"/>
      <c r="AM61" s="114">
        <v>0</v>
      </c>
      <c r="AN61" s="113">
        <v>0</v>
      </c>
      <c r="AO61" s="113">
        <v>0</v>
      </c>
      <c r="AP61" s="113">
        <f t="shared" si="2"/>
        <v>0</v>
      </c>
      <c r="AQ61" s="113">
        <f t="shared" si="8"/>
        <v>43142400</v>
      </c>
      <c r="AR61" s="63"/>
      <c r="AS61" s="63"/>
      <c r="AT61" s="63"/>
      <c r="AU61" s="63"/>
      <c r="AV61" s="120"/>
      <c r="AW61" s="121"/>
      <c r="AX61" s="63"/>
      <c r="AY61" s="63"/>
      <c r="AZ61" s="63"/>
      <c r="BA61" s="63"/>
      <c r="BB61" s="111"/>
      <c r="BC61" s="111"/>
      <c r="BD61" s="118">
        <v>0.01</v>
      </c>
      <c r="BE61" s="113">
        <f t="shared" si="7"/>
        <v>7040600</v>
      </c>
    </row>
    <row r="62" spans="1:57">
      <c r="A62" s="63">
        <v>59</v>
      </c>
      <c r="B62" s="109">
        <v>46127</v>
      </c>
      <c r="C62" s="110">
        <v>1</v>
      </c>
      <c r="D62" s="63" t="s">
        <v>138</v>
      </c>
      <c r="E62" s="63" t="s">
        <v>187</v>
      </c>
      <c r="F62" s="63" t="s">
        <v>537</v>
      </c>
      <c r="G62" s="63" t="s">
        <v>538</v>
      </c>
      <c r="H62" s="63" t="s">
        <v>155</v>
      </c>
      <c r="I62" s="63" t="s">
        <v>140</v>
      </c>
      <c r="J62" s="63"/>
      <c r="K62" s="111" t="s">
        <v>106</v>
      </c>
      <c r="L62" s="63" t="s">
        <v>539</v>
      </c>
      <c r="M62" s="63" t="s">
        <v>107</v>
      </c>
      <c r="N62" s="63"/>
      <c r="O62" s="112">
        <v>0</v>
      </c>
      <c r="P62" s="113">
        <v>315000000</v>
      </c>
      <c r="Q62" s="113">
        <v>18900000</v>
      </c>
      <c r="R62" s="208"/>
      <c r="S62" s="113"/>
      <c r="T62" s="114"/>
      <c r="U62" s="115"/>
      <c r="V62" s="116"/>
      <c r="W62" s="113"/>
      <c r="X62" s="113">
        <v>296100000</v>
      </c>
      <c r="Y62" s="113">
        <v>296100000</v>
      </c>
      <c r="Z62" s="113">
        <f t="shared" si="9"/>
        <v>0</v>
      </c>
      <c r="AA62" s="113">
        <v>296100000</v>
      </c>
      <c r="AB62" s="113">
        <v>302400000</v>
      </c>
      <c r="AC62" s="117"/>
      <c r="AD62" s="118">
        <v>0.04</v>
      </c>
      <c r="AE62" s="118"/>
      <c r="AF62" s="119">
        <v>0</v>
      </c>
      <c r="AG62" s="63"/>
      <c r="AH62" s="118">
        <v>0.04</v>
      </c>
      <c r="AI62" s="63"/>
      <c r="AJ62" s="123"/>
      <c r="AK62" s="115">
        <f t="shared" si="5"/>
        <v>18144000</v>
      </c>
      <c r="AL62" s="113"/>
      <c r="AM62" s="114">
        <v>0</v>
      </c>
      <c r="AN62" s="113">
        <v>0</v>
      </c>
      <c r="AO62" s="113">
        <v>0</v>
      </c>
      <c r="AP62" s="113">
        <f t="shared" si="2"/>
        <v>0</v>
      </c>
      <c r="AQ62" s="113">
        <f t="shared" si="8"/>
        <v>18144000</v>
      </c>
      <c r="AR62" s="63"/>
      <c r="AS62" s="63"/>
      <c r="AT62" s="63"/>
      <c r="AU62" s="63"/>
      <c r="AV62" s="120"/>
      <c r="AW62" s="121"/>
      <c r="AX62" s="63"/>
      <c r="AY62" s="63"/>
      <c r="AZ62" s="63"/>
      <c r="BA62" s="63"/>
      <c r="BB62" s="111"/>
      <c r="BC62" s="111"/>
      <c r="BD62" s="118">
        <v>0.01</v>
      </c>
      <c r="BE62" s="113">
        <f t="shared" si="7"/>
        <v>2961000</v>
      </c>
    </row>
    <row r="63" spans="1:57">
      <c r="A63" s="63">
        <v>60</v>
      </c>
      <c r="B63" s="109">
        <v>46127</v>
      </c>
      <c r="C63" s="110">
        <v>1</v>
      </c>
      <c r="D63" s="63" t="s">
        <v>138</v>
      </c>
      <c r="E63" s="63" t="s">
        <v>187</v>
      </c>
      <c r="F63" s="63" t="s">
        <v>537</v>
      </c>
      <c r="G63" s="63" t="s">
        <v>540</v>
      </c>
      <c r="H63" s="63" t="s">
        <v>155</v>
      </c>
      <c r="I63" s="63" t="s">
        <v>140</v>
      </c>
      <c r="J63" s="63"/>
      <c r="K63" s="111" t="s">
        <v>106</v>
      </c>
      <c r="L63" s="63" t="s">
        <v>541</v>
      </c>
      <c r="M63" s="63" t="s">
        <v>107</v>
      </c>
      <c r="N63" s="63"/>
      <c r="O63" s="112">
        <v>0</v>
      </c>
      <c r="P63" s="113">
        <v>315000000</v>
      </c>
      <c r="Q63" s="113">
        <v>18900000</v>
      </c>
      <c r="R63" s="208"/>
      <c r="S63" s="113"/>
      <c r="T63" s="114"/>
      <c r="U63" s="115"/>
      <c r="V63" s="116"/>
      <c r="W63" s="113"/>
      <c r="X63" s="113">
        <v>296100000</v>
      </c>
      <c r="Y63" s="113">
        <v>296100000</v>
      </c>
      <c r="Z63" s="113">
        <f t="shared" si="9"/>
        <v>0</v>
      </c>
      <c r="AA63" s="113">
        <v>296100000</v>
      </c>
      <c r="AB63" s="113">
        <v>302400000</v>
      </c>
      <c r="AC63" s="117"/>
      <c r="AD63" s="118">
        <v>0.04</v>
      </c>
      <c r="AE63" s="118"/>
      <c r="AF63" s="119">
        <v>0</v>
      </c>
      <c r="AG63" s="63"/>
      <c r="AH63" s="118">
        <v>0.04</v>
      </c>
      <c r="AI63" s="63"/>
      <c r="AJ63" s="123"/>
      <c r="AK63" s="115">
        <f t="shared" si="5"/>
        <v>18144000</v>
      </c>
      <c r="AL63" s="113"/>
      <c r="AM63" s="114">
        <v>0</v>
      </c>
      <c r="AN63" s="113">
        <v>0</v>
      </c>
      <c r="AO63" s="113">
        <v>0</v>
      </c>
      <c r="AP63" s="113">
        <f t="shared" si="2"/>
        <v>0</v>
      </c>
      <c r="AQ63" s="113">
        <f t="shared" si="8"/>
        <v>18144000</v>
      </c>
      <c r="AR63" s="63"/>
      <c r="AS63" s="63"/>
      <c r="AT63" s="63"/>
      <c r="AU63" s="63"/>
      <c r="AV63" s="120"/>
      <c r="AW63" s="121"/>
      <c r="AX63" s="63"/>
      <c r="AY63" s="63"/>
      <c r="AZ63" s="63"/>
      <c r="BA63" s="63"/>
      <c r="BB63" s="111"/>
      <c r="BC63" s="111"/>
      <c r="BD63" s="118">
        <v>0.01</v>
      </c>
      <c r="BE63" s="113">
        <f t="shared" si="7"/>
        <v>2961000</v>
      </c>
    </row>
    <row r="64" spans="1:57">
      <c r="A64" s="63">
        <v>61</v>
      </c>
      <c r="B64" s="109">
        <v>46127</v>
      </c>
      <c r="C64" s="110">
        <v>1</v>
      </c>
      <c r="D64" s="63" t="s">
        <v>138</v>
      </c>
      <c r="E64" s="63" t="s">
        <v>187</v>
      </c>
      <c r="F64" s="63" t="s">
        <v>537</v>
      </c>
      <c r="G64" s="63" t="s">
        <v>542</v>
      </c>
      <c r="H64" s="63" t="s">
        <v>155</v>
      </c>
      <c r="I64" s="63" t="s">
        <v>140</v>
      </c>
      <c r="J64" s="63"/>
      <c r="K64" s="111" t="s">
        <v>121</v>
      </c>
      <c r="L64" s="63" t="s">
        <v>543</v>
      </c>
      <c r="M64" s="63" t="s">
        <v>107</v>
      </c>
      <c r="N64" s="63"/>
      <c r="O64" s="112">
        <v>0</v>
      </c>
      <c r="P64" s="113">
        <v>323000000</v>
      </c>
      <c r="Q64" s="113">
        <v>19380000</v>
      </c>
      <c r="R64" s="208"/>
      <c r="S64" s="113"/>
      <c r="T64" s="114"/>
      <c r="U64" s="115"/>
      <c r="V64" s="116"/>
      <c r="W64" s="113"/>
      <c r="X64" s="113">
        <v>303620000</v>
      </c>
      <c r="Y64" s="113">
        <v>303620000</v>
      </c>
      <c r="Z64" s="113">
        <f t="shared" si="9"/>
        <v>0</v>
      </c>
      <c r="AA64" s="113">
        <v>303620000</v>
      </c>
      <c r="AB64" s="113">
        <v>310080000</v>
      </c>
      <c r="AC64" s="117"/>
      <c r="AD64" s="118">
        <v>0.04</v>
      </c>
      <c r="AE64" s="118"/>
      <c r="AF64" s="119">
        <v>0</v>
      </c>
      <c r="AG64" s="63"/>
      <c r="AH64" s="118">
        <v>0.04</v>
      </c>
      <c r="AI64" s="63"/>
      <c r="AJ64" s="123"/>
      <c r="AK64" s="115">
        <f t="shared" si="5"/>
        <v>18604800</v>
      </c>
      <c r="AL64" s="113"/>
      <c r="AM64" s="114">
        <v>0</v>
      </c>
      <c r="AN64" s="113">
        <v>0</v>
      </c>
      <c r="AO64" s="113">
        <v>0</v>
      </c>
      <c r="AP64" s="113">
        <f t="shared" si="2"/>
        <v>0</v>
      </c>
      <c r="AQ64" s="113">
        <f t="shared" si="8"/>
        <v>18604800</v>
      </c>
      <c r="AR64" s="63"/>
      <c r="AS64" s="63"/>
      <c r="AT64" s="63"/>
      <c r="AU64" s="63"/>
      <c r="AV64" s="120"/>
      <c r="AW64" s="121"/>
      <c r="AX64" s="63"/>
      <c r="AY64" s="63"/>
      <c r="AZ64" s="63"/>
      <c r="BA64" s="63"/>
      <c r="BB64" s="111"/>
      <c r="BC64" s="111"/>
      <c r="BD64" s="118">
        <v>0.01</v>
      </c>
      <c r="BE64" s="113">
        <f t="shared" si="7"/>
        <v>3036200</v>
      </c>
    </row>
    <row r="65" spans="1:57">
      <c r="A65" s="63">
        <v>62</v>
      </c>
      <c r="B65" s="109">
        <v>46127</v>
      </c>
      <c r="C65" s="110">
        <v>1</v>
      </c>
      <c r="D65" s="63" t="s">
        <v>138</v>
      </c>
      <c r="E65" s="63" t="s">
        <v>198</v>
      </c>
      <c r="F65" s="63" t="s">
        <v>544</v>
      </c>
      <c r="G65" s="63" t="s">
        <v>545</v>
      </c>
      <c r="H65" s="63" t="s">
        <v>117</v>
      </c>
      <c r="I65" s="63" t="s">
        <v>53</v>
      </c>
      <c r="J65" s="63"/>
      <c r="K65" s="111" t="s">
        <v>117</v>
      </c>
      <c r="L65" s="63" t="s">
        <v>546</v>
      </c>
      <c r="M65" s="63" t="s">
        <v>107</v>
      </c>
      <c r="N65" s="63"/>
      <c r="O65" s="112">
        <v>0</v>
      </c>
      <c r="P65" s="113">
        <v>819000000</v>
      </c>
      <c r="Q65" s="113">
        <v>49140000</v>
      </c>
      <c r="R65" s="208"/>
      <c r="S65" s="113"/>
      <c r="T65" s="114">
        <v>24570000</v>
      </c>
      <c r="U65" s="138">
        <v>0.05</v>
      </c>
      <c r="V65" s="116"/>
      <c r="W65" s="113"/>
      <c r="X65" s="113">
        <v>704340000</v>
      </c>
      <c r="Y65" s="113">
        <v>704340000</v>
      </c>
      <c r="Z65" s="113">
        <f t="shared" si="9"/>
        <v>0</v>
      </c>
      <c r="AA65" s="113">
        <v>704340000</v>
      </c>
      <c r="AB65" s="113">
        <v>786240000</v>
      </c>
      <c r="AC65" s="117"/>
      <c r="AD65" s="118">
        <v>0.04</v>
      </c>
      <c r="AE65" s="118"/>
      <c r="AF65" s="119">
        <v>0</v>
      </c>
      <c r="AG65" s="63"/>
      <c r="AH65" s="118">
        <v>0.04</v>
      </c>
      <c r="AI65" s="63"/>
      <c r="AJ65" s="123">
        <v>2.5000000000000001E-2</v>
      </c>
      <c r="AK65" s="115">
        <f t="shared" si="5"/>
        <v>89598600</v>
      </c>
      <c r="AL65" s="113"/>
      <c r="AM65" s="114">
        <v>0</v>
      </c>
      <c r="AN65" s="113">
        <v>0</v>
      </c>
      <c r="AO65" s="113">
        <v>0</v>
      </c>
      <c r="AP65" s="113">
        <f t="shared" si="2"/>
        <v>0</v>
      </c>
      <c r="AQ65" s="113">
        <f t="shared" si="8"/>
        <v>89598600</v>
      </c>
      <c r="AR65" s="63"/>
      <c r="AS65" s="63"/>
      <c r="AT65" s="63"/>
      <c r="AU65" s="63"/>
      <c r="AV65" s="120"/>
      <c r="AW65" s="121"/>
      <c r="AX65" s="63"/>
      <c r="AY65" s="63"/>
      <c r="AZ65" s="63"/>
      <c r="BA65" s="63"/>
      <c r="BB65" s="111"/>
      <c r="BC65" s="111"/>
      <c r="BD65" s="118">
        <v>0.01</v>
      </c>
      <c r="BE65" s="113">
        <f t="shared" si="7"/>
        <v>7043400</v>
      </c>
    </row>
    <row r="66" spans="1:57">
      <c r="A66" s="63">
        <v>63</v>
      </c>
      <c r="B66" s="109">
        <v>46127</v>
      </c>
      <c r="C66" s="110">
        <v>4</v>
      </c>
      <c r="D66" s="63" t="s">
        <v>100</v>
      </c>
      <c r="E66" s="63" t="s">
        <v>158</v>
      </c>
      <c r="F66" s="63" t="s">
        <v>547</v>
      </c>
      <c r="G66" s="63" t="s">
        <v>548</v>
      </c>
      <c r="H66" s="63" t="s">
        <v>167</v>
      </c>
      <c r="I66" s="63" t="s">
        <v>105</v>
      </c>
      <c r="J66" s="63"/>
      <c r="K66" s="111" t="s">
        <v>119</v>
      </c>
      <c r="L66" s="63" t="s">
        <v>549</v>
      </c>
      <c r="M66" s="63" t="s">
        <v>120</v>
      </c>
      <c r="N66" s="63"/>
      <c r="O66" s="112">
        <v>46129</v>
      </c>
      <c r="P66" s="113">
        <v>529000000</v>
      </c>
      <c r="Q66" s="113">
        <v>31740000</v>
      </c>
      <c r="R66" s="208"/>
      <c r="S66" s="113"/>
      <c r="T66" s="114">
        <v>15870000</v>
      </c>
      <c r="U66" s="115"/>
      <c r="V66" s="116"/>
      <c r="W66" s="113"/>
      <c r="X66" s="113">
        <v>481390000</v>
      </c>
      <c r="Y66" s="113">
        <v>481390000</v>
      </c>
      <c r="Z66" s="113">
        <f t="shared" si="9"/>
        <v>0</v>
      </c>
      <c r="AA66" s="113">
        <v>481390000</v>
      </c>
      <c r="AB66" s="113">
        <v>507840000</v>
      </c>
      <c r="AC66" s="117"/>
      <c r="AD66" s="118">
        <v>0.04</v>
      </c>
      <c r="AE66" s="118"/>
      <c r="AF66" s="119">
        <v>0</v>
      </c>
      <c r="AG66" s="63"/>
      <c r="AH66" s="118">
        <v>0.04</v>
      </c>
      <c r="AI66" s="63"/>
      <c r="AJ66" s="123"/>
      <c r="AK66" s="115">
        <f t="shared" si="5"/>
        <v>45705600</v>
      </c>
      <c r="AL66" s="113"/>
      <c r="AM66" s="114">
        <v>0</v>
      </c>
      <c r="AN66" s="113">
        <v>0</v>
      </c>
      <c r="AO66" s="113">
        <v>7000000</v>
      </c>
      <c r="AP66" s="113">
        <f t="shared" si="2"/>
        <v>3500000</v>
      </c>
      <c r="AQ66" s="113">
        <f t="shared" si="8"/>
        <v>49205600</v>
      </c>
      <c r="AR66" s="63"/>
      <c r="AS66" s="63"/>
      <c r="AT66" s="63"/>
      <c r="AU66" s="63"/>
      <c r="AV66" s="120" t="s">
        <v>336</v>
      </c>
      <c r="AW66" s="121"/>
      <c r="AX66" s="63"/>
      <c r="AY66" s="63"/>
      <c r="AZ66" s="63"/>
      <c r="BA66" s="63"/>
      <c r="BB66" s="111"/>
      <c r="BC66" s="111"/>
      <c r="BD66" s="123"/>
      <c r="BE66" s="113"/>
    </row>
    <row r="67" spans="1:57">
      <c r="A67" s="63">
        <v>64</v>
      </c>
      <c r="B67" s="109">
        <v>46127</v>
      </c>
      <c r="C67" s="110">
        <v>4</v>
      </c>
      <c r="D67" s="63" t="s">
        <v>100</v>
      </c>
      <c r="E67" s="63" t="s">
        <v>156</v>
      </c>
      <c r="F67" s="63" t="s">
        <v>550</v>
      </c>
      <c r="G67" s="63" t="s">
        <v>551</v>
      </c>
      <c r="H67" s="63" t="s">
        <v>155</v>
      </c>
      <c r="I67" s="63" t="s">
        <v>162</v>
      </c>
      <c r="J67" s="63"/>
      <c r="K67" s="111" t="s">
        <v>102</v>
      </c>
      <c r="L67" s="63" t="s">
        <v>552</v>
      </c>
      <c r="M67" s="63" t="s">
        <v>120</v>
      </c>
      <c r="N67" s="63"/>
      <c r="O67" s="112">
        <v>46129</v>
      </c>
      <c r="P67" s="113">
        <v>310000000</v>
      </c>
      <c r="Q67" s="113">
        <v>18600000</v>
      </c>
      <c r="R67" s="208"/>
      <c r="S67" s="113"/>
      <c r="T67" s="114">
        <v>9300000</v>
      </c>
      <c r="U67" s="115"/>
      <c r="V67" s="116">
        <v>18000000</v>
      </c>
      <c r="W67" s="113"/>
      <c r="X67" s="113">
        <v>264100000</v>
      </c>
      <c r="Y67" s="113">
        <v>264100000</v>
      </c>
      <c r="Z67" s="113">
        <f t="shared" si="9"/>
        <v>0</v>
      </c>
      <c r="AA67" s="113">
        <v>264100000</v>
      </c>
      <c r="AB67" s="113">
        <v>297600000</v>
      </c>
      <c r="AC67" s="117"/>
      <c r="AD67" s="118">
        <v>0.04</v>
      </c>
      <c r="AE67" s="118"/>
      <c r="AF67" s="119">
        <v>0</v>
      </c>
      <c r="AG67" s="63"/>
      <c r="AH67" s="118">
        <v>0.04</v>
      </c>
      <c r="AI67" s="63"/>
      <c r="AJ67" s="123"/>
      <c r="AK67" s="115">
        <f t="shared" si="5"/>
        <v>44064000</v>
      </c>
      <c r="AL67" s="113"/>
      <c r="AM67" s="114">
        <v>0</v>
      </c>
      <c r="AN67" s="113">
        <v>0</v>
      </c>
      <c r="AO67" s="113">
        <v>0</v>
      </c>
      <c r="AP67" s="113">
        <f t="shared" si="2"/>
        <v>0</v>
      </c>
      <c r="AQ67" s="113">
        <f t="shared" si="8"/>
        <v>44064000</v>
      </c>
      <c r="AR67" s="63"/>
      <c r="AS67" s="63"/>
      <c r="AT67" s="63"/>
      <c r="AU67" s="63"/>
      <c r="AV67" s="120"/>
      <c r="AW67" s="121"/>
      <c r="AX67" s="63"/>
      <c r="AY67" s="63"/>
      <c r="AZ67" s="63"/>
      <c r="BA67" s="63"/>
      <c r="BB67" s="111"/>
      <c r="BC67" s="111"/>
      <c r="BD67" s="123"/>
      <c r="BE67" s="113"/>
    </row>
    <row r="68" spans="1:57">
      <c r="A68" s="63">
        <v>65</v>
      </c>
      <c r="B68" s="124">
        <v>46127</v>
      </c>
      <c r="C68" s="125">
        <v>1</v>
      </c>
      <c r="D68" s="64" t="s">
        <v>104</v>
      </c>
      <c r="E68" s="64" t="s">
        <v>147</v>
      </c>
      <c r="F68" s="64" t="s">
        <v>553</v>
      </c>
      <c r="G68" s="64" t="s">
        <v>554</v>
      </c>
      <c r="H68" s="63" t="s">
        <v>155</v>
      </c>
      <c r="I68" s="64" t="s">
        <v>105</v>
      </c>
      <c r="J68" s="64"/>
      <c r="K68" s="126" t="s">
        <v>106</v>
      </c>
      <c r="L68" s="64" t="s">
        <v>555</v>
      </c>
      <c r="M68" s="64" t="s">
        <v>103</v>
      </c>
      <c r="N68" s="64"/>
      <c r="O68" s="127">
        <v>0</v>
      </c>
      <c r="P68" s="128">
        <v>315000000</v>
      </c>
      <c r="Q68" s="128">
        <v>18900000</v>
      </c>
      <c r="R68" s="209"/>
      <c r="S68" s="128"/>
      <c r="T68" s="129"/>
      <c r="U68" s="128"/>
      <c r="V68" s="130"/>
      <c r="W68" s="130">
        <v>6000000</v>
      </c>
      <c r="X68" s="128">
        <v>290100000</v>
      </c>
      <c r="Y68" s="128">
        <v>290100000</v>
      </c>
      <c r="Z68" s="113">
        <f t="shared" si="9"/>
        <v>0</v>
      </c>
      <c r="AA68" s="128">
        <v>296100000</v>
      </c>
      <c r="AB68" s="113">
        <v>302400000</v>
      </c>
      <c r="AC68" s="131"/>
      <c r="AD68" s="132">
        <v>0.04</v>
      </c>
      <c r="AE68" s="132"/>
      <c r="AF68" s="133">
        <v>0</v>
      </c>
      <c r="AG68" s="64"/>
      <c r="AH68" s="132">
        <v>0.04</v>
      </c>
      <c r="AI68" s="64"/>
      <c r="AJ68" s="160"/>
      <c r="AK68" s="128">
        <f t="shared" si="5"/>
        <v>18144000</v>
      </c>
      <c r="AL68" s="128"/>
      <c r="AM68" s="114">
        <v>0</v>
      </c>
      <c r="AN68" s="113">
        <v>0</v>
      </c>
      <c r="AO68" s="113">
        <v>0</v>
      </c>
      <c r="AP68" s="113">
        <f t="shared" si="2"/>
        <v>0</v>
      </c>
      <c r="AQ68" s="113">
        <f t="shared" si="8"/>
        <v>18144000</v>
      </c>
      <c r="AR68" s="64"/>
      <c r="AS68" s="64"/>
      <c r="AT68" s="64"/>
      <c r="AU68" s="64"/>
      <c r="AV68" s="134"/>
      <c r="AW68" s="135"/>
      <c r="AX68" s="64"/>
      <c r="AY68" s="64"/>
      <c r="AZ68" s="64"/>
      <c r="BA68" s="64"/>
      <c r="BB68" s="126"/>
      <c r="BC68" s="126"/>
      <c r="BD68" s="123">
        <v>0.01</v>
      </c>
      <c r="BE68" s="113">
        <f>BD68*AA68</f>
        <v>2961000</v>
      </c>
    </row>
    <row r="69" spans="1:57">
      <c r="A69" s="63">
        <v>66</v>
      </c>
      <c r="B69" s="109">
        <v>46127</v>
      </c>
      <c r="C69" s="110">
        <v>4</v>
      </c>
      <c r="D69" s="63" t="s">
        <v>100</v>
      </c>
      <c r="E69" s="63" t="s">
        <v>158</v>
      </c>
      <c r="F69" s="63" t="s">
        <v>556</v>
      </c>
      <c r="G69" s="63" t="s">
        <v>557</v>
      </c>
      <c r="H69" s="63" t="s">
        <v>155</v>
      </c>
      <c r="I69" s="63" t="s">
        <v>105</v>
      </c>
      <c r="J69" s="63"/>
      <c r="K69" s="111" t="s">
        <v>106</v>
      </c>
      <c r="L69" s="63" t="s">
        <v>558</v>
      </c>
      <c r="M69" s="63" t="s">
        <v>120</v>
      </c>
      <c r="N69" s="63"/>
      <c r="O69" s="112">
        <v>46130</v>
      </c>
      <c r="P69" s="113">
        <v>315000000</v>
      </c>
      <c r="Q69" s="113">
        <v>18900000</v>
      </c>
      <c r="R69" s="208"/>
      <c r="S69" s="113"/>
      <c r="T69" s="114">
        <v>9450000</v>
      </c>
      <c r="U69" s="138">
        <v>0.05</v>
      </c>
      <c r="V69" s="116"/>
      <c r="W69" s="113"/>
      <c r="X69" s="113">
        <v>270900000</v>
      </c>
      <c r="Y69" s="113">
        <v>270900000</v>
      </c>
      <c r="Z69" s="113">
        <f t="shared" si="9"/>
        <v>0</v>
      </c>
      <c r="AA69" s="113">
        <v>270900000</v>
      </c>
      <c r="AB69" s="113">
        <v>302400000</v>
      </c>
      <c r="AC69" s="117"/>
      <c r="AD69" s="118">
        <v>0.04</v>
      </c>
      <c r="AE69" s="118"/>
      <c r="AF69" s="119">
        <v>0</v>
      </c>
      <c r="AG69" s="63"/>
      <c r="AH69" s="118">
        <v>0.04</v>
      </c>
      <c r="AI69" s="63"/>
      <c r="AJ69" s="123">
        <v>2.5000000000000001E-2</v>
      </c>
      <c r="AK69" s="115">
        <f t="shared" si="5"/>
        <v>34461000</v>
      </c>
      <c r="AL69" s="113"/>
      <c r="AM69" s="114">
        <v>0</v>
      </c>
      <c r="AN69" s="113">
        <v>0</v>
      </c>
      <c r="AO69" s="113">
        <v>0</v>
      </c>
      <c r="AP69" s="113">
        <f t="shared" si="2"/>
        <v>0</v>
      </c>
      <c r="AQ69" s="113">
        <f t="shared" si="8"/>
        <v>34461000</v>
      </c>
      <c r="AR69" s="63"/>
      <c r="AS69" s="63"/>
      <c r="AT69" s="63"/>
      <c r="AU69" s="63"/>
      <c r="AV69" s="120" t="s">
        <v>336</v>
      </c>
      <c r="AW69" s="121"/>
      <c r="AX69" s="63"/>
      <c r="AY69" s="63"/>
      <c r="AZ69" s="63"/>
      <c r="BA69" s="63"/>
      <c r="BB69" s="111"/>
      <c r="BC69" s="111"/>
      <c r="BD69" s="123"/>
      <c r="BE69" s="113"/>
    </row>
    <row r="70" spans="1:57">
      <c r="A70" s="63">
        <v>67</v>
      </c>
      <c r="B70" s="109">
        <v>46127</v>
      </c>
      <c r="C70" s="110">
        <v>4</v>
      </c>
      <c r="D70" s="63" t="s">
        <v>122</v>
      </c>
      <c r="E70" s="63" t="s">
        <v>559</v>
      </c>
      <c r="F70" s="63" t="s">
        <v>560</v>
      </c>
      <c r="G70" s="63" t="s">
        <v>561</v>
      </c>
      <c r="H70" s="63" t="s">
        <v>52</v>
      </c>
      <c r="I70" s="63" t="s">
        <v>148</v>
      </c>
      <c r="J70" s="63"/>
      <c r="K70" s="111" t="s">
        <v>114</v>
      </c>
      <c r="L70" s="63" t="s">
        <v>562</v>
      </c>
      <c r="M70" s="63" t="s">
        <v>107</v>
      </c>
      <c r="N70" s="63"/>
      <c r="O70" s="112">
        <v>46127</v>
      </c>
      <c r="P70" s="113">
        <v>749000000</v>
      </c>
      <c r="Q70" s="113">
        <v>44940000</v>
      </c>
      <c r="R70" s="208"/>
      <c r="S70" s="113"/>
      <c r="T70" s="114"/>
      <c r="U70" s="115"/>
      <c r="V70" s="116"/>
      <c r="W70" s="113"/>
      <c r="X70" s="113">
        <v>704060000</v>
      </c>
      <c r="Y70" s="113">
        <v>704060000</v>
      </c>
      <c r="Z70" s="113">
        <f t="shared" si="9"/>
        <v>0</v>
      </c>
      <c r="AA70" s="113">
        <v>704060000</v>
      </c>
      <c r="AB70" s="113">
        <v>719040000</v>
      </c>
      <c r="AC70" s="117"/>
      <c r="AD70" s="118">
        <v>0.04</v>
      </c>
      <c r="AE70" s="118"/>
      <c r="AF70" s="119">
        <v>0</v>
      </c>
      <c r="AG70" s="63"/>
      <c r="AH70" s="118">
        <v>0.04</v>
      </c>
      <c r="AI70" s="63"/>
      <c r="AJ70" s="123"/>
      <c r="AK70" s="115">
        <f t="shared" si="5"/>
        <v>43142400</v>
      </c>
      <c r="AL70" s="113"/>
      <c r="AM70" s="114">
        <v>0</v>
      </c>
      <c r="AN70" s="113">
        <v>0</v>
      </c>
      <c r="AO70" s="113">
        <v>0</v>
      </c>
      <c r="AP70" s="113">
        <f t="shared" si="2"/>
        <v>0</v>
      </c>
      <c r="AQ70" s="113">
        <f t="shared" si="8"/>
        <v>43142400</v>
      </c>
      <c r="AR70" s="63"/>
      <c r="AS70" s="63"/>
      <c r="AT70" s="63"/>
      <c r="AU70" s="63"/>
      <c r="AV70" s="120" t="s">
        <v>563</v>
      </c>
      <c r="AW70" s="121"/>
      <c r="AX70" s="63"/>
      <c r="AY70" s="63"/>
      <c r="AZ70" s="63"/>
      <c r="BA70" s="63"/>
      <c r="BB70" s="122">
        <v>9842759</v>
      </c>
      <c r="BC70" s="111"/>
      <c r="BD70" s="118">
        <v>0.01</v>
      </c>
      <c r="BE70" s="113">
        <f>BD70*AA70</f>
        <v>7040600</v>
      </c>
    </row>
    <row r="71" spans="1:57">
      <c r="A71" s="63">
        <v>68</v>
      </c>
      <c r="B71" s="109">
        <v>46127</v>
      </c>
      <c r="C71" s="110">
        <v>4</v>
      </c>
      <c r="D71" s="63" t="s">
        <v>122</v>
      </c>
      <c r="E71" s="63" t="s">
        <v>564</v>
      </c>
      <c r="F71" s="63" t="s">
        <v>565</v>
      </c>
      <c r="G71" s="63" t="s">
        <v>566</v>
      </c>
      <c r="H71" s="63" t="s">
        <v>52</v>
      </c>
      <c r="I71" s="63" t="s">
        <v>148</v>
      </c>
      <c r="J71" s="63"/>
      <c r="K71" s="111" t="s">
        <v>114</v>
      </c>
      <c r="L71" s="63" t="s">
        <v>567</v>
      </c>
      <c r="M71" s="63" t="s">
        <v>107</v>
      </c>
      <c r="N71" s="63"/>
      <c r="O71" s="112">
        <v>46127</v>
      </c>
      <c r="P71" s="113">
        <v>749000000</v>
      </c>
      <c r="Q71" s="113">
        <v>44940000</v>
      </c>
      <c r="R71" s="208"/>
      <c r="S71" s="113"/>
      <c r="T71" s="114"/>
      <c r="U71" s="115"/>
      <c r="V71" s="116"/>
      <c r="W71" s="113"/>
      <c r="X71" s="113">
        <v>704060000</v>
      </c>
      <c r="Y71" s="113">
        <v>704060000</v>
      </c>
      <c r="Z71" s="113">
        <f t="shared" si="9"/>
        <v>0</v>
      </c>
      <c r="AA71" s="113">
        <v>704060000</v>
      </c>
      <c r="AB71" s="113">
        <v>719040000</v>
      </c>
      <c r="AC71" s="117"/>
      <c r="AD71" s="118">
        <v>0.04</v>
      </c>
      <c r="AE71" s="118"/>
      <c r="AF71" s="119">
        <v>0</v>
      </c>
      <c r="AG71" s="63"/>
      <c r="AH71" s="118">
        <v>0.04</v>
      </c>
      <c r="AI71" s="63"/>
      <c r="AJ71" s="123"/>
      <c r="AK71" s="115">
        <f t="shared" si="5"/>
        <v>43142400</v>
      </c>
      <c r="AL71" s="113"/>
      <c r="AM71" s="114">
        <v>0</v>
      </c>
      <c r="AN71" s="113">
        <v>0</v>
      </c>
      <c r="AO71" s="113">
        <v>0</v>
      </c>
      <c r="AP71" s="113">
        <f t="shared" si="2"/>
        <v>0</v>
      </c>
      <c r="AQ71" s="113">
        <f t="shared" si="8"/>
        <v>43142400</v>
      </c>
      <c r="AR71" s="63"/>
      <c r="AS71" s="63"/>
      <c r="AT71" s="63"/>
      <c r="AU71" s="63"/>
      <c r="AV71" s="120" t="s">
        <v>563</v>
      </c>
      <c r="AW71" s="121"/>
      <c r="AX71" s="63"/>
      <c r="AY71" s="63"/>
      <c r="AZ71" s="63"/>
      <c r="BA71" s="63"/>
      <c r="BB71" s="122">
        <v>9842759</v>
      </c>
      <c r="BC71" s="111"/>
      <c r="BD71" s="118">
        <v>0.01</v>
      </c>
      <c r="BE71" s="113">
        <f>BD71*AA71</f>
        <v>7040600</v>
      </c>
    </row>
    <row r="72" spans="1:57">
      <c r="A72" s="63">
        <v>69</v>
      </c>
      <c r="B72" s="109">
        <v>46127</v>
      </c>
      <c r="C72" s="110">
        <v>4</v>
      </c>
      <c r="D72" s="63" t="s">
        <v>122</v>
      </c>
      <c r="E72" s="63" t="s">
        <v>457</v>
      </c>
      <c r="F72" s="63" t="s">
        <v>568</v>
      </c>
      <c r="G72" s="63" t="s">
        <v>569</v>
      </c>
      <c r="H72" s="63" t="s">
        <v>155</v>
      </c>
      <c r="I72" s="63" t="s">
        <v>105</v>
      </c>
      <c r="J72" s="63"/>
      <c r="K72" s="111" t="s">
        <v>121</v>
      </c>
      <c r="L72" s="63" t="s">
        <v>570</v>
      </c>
      <c r="M72" s="63" t="s">
        <v>107</v>
      </c>
      <c r="N72" s="63"/>
      <c r="O72" s="112">
        <v>46127</v>
      </c>
      <c r="P72" s="113">
        <v>323000000</v>
      </c>
      <c r="Q72" s="113">
        <v>19380000</v>
      </c>
      <c r="R72" s="208"/>
      <c r="S72" s="113"/>
      <c r="T72" s="114">
        <v>9690000</v>
      </c>
      <c r="U72" s="115"/>
      <c r="V72" s="116"/>
      <c r="W72" s="116">
        <v>6000000</v>
      </c>
      <c r="X72" s="113">
        <v>287930000</v>
      </c>
      <c r="Y72" s="113">
        <v>287930000</v>
      </c>
      <c r="Z72" s="113">
        <f t="shared" si="9"/>
        <v>0</v>
      </c>
      <c r="AA72" s="113">
        <v>293930000</v>
      </c>
      <c r="AB72" s="113">
        <v>310080000</v>
      </c>
      <c r="AC72" s="117"/>
      <c r="AD72" s="118">
        <v>0.04</v>
      </c>
      <c r="AE72" s="118"/>
      <c r="AF72" s="119">
        <v>0</v>
      </c>
      <c r="AG72" s="63"/>
      <c r="AH72" s="118">
        <v>0.04</v>
      </c>
      <c r="AI72" s="63"/>
      <c r="AJ72" s="123"/>
      <c r="AK72" s="115">
        <f t="shared" si="5"/>
        <v>27907200</v>
      </c>
      <c r="AL72" s="113"/>
      <c r="AM72" s="114">
        <v>0</v>
      </c>
      <c r="AN72" s="113">
        <v>5000000</v>
      </c>
      <c r="AO72" s="113">
        <v>5000000</v>
      </c>
      <c r="AP72" s="113">
        <f t="shared" si="2"/>
        <v>2500000</v>
      </c>
      <c r="AQ72" s="113">
        <f t="shared" si="8"/>
        <v>35407200</v>
      </c>
      <c r="AR72" s="63"/>
      <c r="AS72" s="63"/>
      <c r="AT72" s="63"/>
      <c r="AU72" s="63"/>
      <c r="AV72" s="120"/>
      <c r="AW72" s="121"/>
      <c r="AX72" s="63"/>
      <c r="AY72" s="63"/>
      <c r="AZ72" s="63"/>
      <c r="BA72" s="63"/>
      <c r="BB72" s="111"/>
      <c r="BC72" s="111"/>
      <c r="BD72" s="118">
        <v>0.01</v>
      </c>
      <c r="BE72" s="113">
        <f>BD72*AA72</f>
        <v>2939300</v>
      </c>
    </row>
    <row r="73" spans="1:57">
      <c r="A73" s="63">
        <v>70</v>
      </c>
      <c r="B73" s="109">
        <v>46127</v>
      </c>
      <c r="C73" s="110">
        <v>4</v>
      </c>
      <c r="D73" s="63" t="s">
        <v>122</v>
      </c>
      <c r="E73" s="63" t="s">
        <v>151</v>
      </c>
      <c r="F73" s="63" t="s">
        <v>571</v>
      </c>
      <c r="G73" s="63" t="s">
        <v>572</v>
      </c>
      <c r="H73" s="63" t="s">
        <v>117</v>
      </c>
      <c r="I73" s="63" t="s">
        <v>168</v>
      </c>
      <c r="J73" s="63"/>
      <c r="K73" s="111" t="s">
        <v>117</v>
      </c>
      <c r="L73" s="63" t="s">
        <v>573</v>
      </c>
      <c r="M73" s="63" t="s">
        <v>103</v>
      </c>
      <c r="N73" s="63"/>
      <c r="O73" s="112">
        <v>46127</v>
      </c>
      <c r="P73" s="113">
        <v>819000000</v>
      </c>
      <c r="Q73" s="113">
        <v>49140000</v>
      </c>
      <c r="R73" s="208"/>
      <c r="S73" s="113"/>
      <c r="T73" s="114"/>
      <c r="U73" s="115"/>
      <c r="V73" s="116"/>
      <c r="W73" s="116">
        <v>15000000</v>
      </c>
      <c r="X73" s="113">
        <v>754860000</v>
      </c>
      <c r="Y73" s="113">
        <v>754860000</v>
      </c>
      <c r="Z73" s="113">
        <f t="shared" si="9"/>
        <v>0</v>
      </c>
      <c r="AA73" s="113">
        <v>769860000</v>
      </c>
      <c r="AB73" s="113">
        <v>786240000</v>
      </c>
      <c r="AC73" s="117"/>
      <c r="AD73" s="118">
        <v>0.04</v>
      </c>
      <c r="AE73" s="118"/>
      <c r="AF73" s="119">
        <v>0</v>
      </c>
      <c r="AG73" s="63"/>
      <c r="AH73" s="118">
        <v>0.04</v>
      </c>
      <c r="AI73" s="63"/>
      <c r="AJ73" s="123"/>
      <c r="AK73" s="115">
        <f t="shared" si="5"/>
        <v>47174400</v>
      </c>
      <c r="AL73" s="113"/>
      <c r="AM73" s="114">
        <v>0</v>
      </c>
      <c r="AN73" s="113">
        <v>15000000</v>
      </c>
      <c r="AO73" s="113">
        <v>0</v>
      </c>
      <c r="AP73" s="113">
        <f t="shared" si="2"/>
        <v>0</v>
      </c>
      <c r="AQ73" s="113">
        <f t="shared" si="8"/>
        <v>62174400</v>
      </c>
      <c r="AR73" s="63"/>
      <c r="AS73" s="63"/>
      <c r="AT73" s="63"/>
      <c r="AU73" s="63"/>
      <c r="AV73" s="120"/>
      <c r="AW73" s="121"/>
      <c r="AX73" s="63"/>
      <c r="AY73" s="63"/>
      <c r="AZ73" s="63"/>
      <c r="BA73" s="63"/>
      <c r="BB73" s="111"/>
      <c r="BC73" s="111"/>
      <c r="BD73" s="123"/>
      <c r="BE73" s="113"/>
    </row>
    <row r="74" spans="1:57">
      <c r="A74" s="63">
        <v>71</v>
      </c>
      <c r="B74" s="109">
        <v>46127</v>
      </c>
      <c r="C74" s="110">
        <v>4</v>
      </c>
      <c r="D74" s="63" t="s">
        <v>122</v>
      </c>
      <c r="E74" s="63" t="s">
        <v>181</v>
      </c>
      <c r="F74" s="63" t="s">
        <v>574</v>
      </c>
      <c r="G74" s="63" t="s">
        <v>575</v>
      </c>
      <c r="H74" s="63" t="s">
        <v>155</v>
      </c>
      <c r="I74" s="63" t="s">
        <v>134</v>
      </c>
      <c r="J74" s="63"/>
      <c r="K74" s="111" t="s">
        <v>108</v>
      </c>
      <c r="L74" s="63" t="s">
        <v>576</v>
      </c>
      <c r="M74" s="63" t="s">
        <v>107</v>
      </c>
      <c r="N74" s="63"/>
      <c r="O74" s="112">
        <v>46127</v>
      </c>
      <c r="P74" s="113">
        <v>302000000</v>
      </c>
      <c r="Q74" s="113"/>
      <c r="R74" s="208">
        <v>7.0000000000000007E-2</v>
      </c>
      <c r="S74" s="113">
        <v>5.0000000000000001E-3</v>
      </c>
      <c r="T74" s="114"/>
      <c r="U74" s="115"/>
      <c r="V74" s="116"/>
      <c r="W74" s="116">
        <v>4990000</v>
      </c>
      <c r="X74" s="113">
        <v>295500000</v>
      </c>
      <c r="Y74" s="113">
        <v>295500000</v>
      </c>
      <c r="Z74" s="113">
        <f t="shared" si="9"/>
        <v>0</v>
      </c>
      <c r="AA74" s="113">
        <v>300490000</v>
      </c>
      <c r="AB74" s="113">
        <v>289920000</v>
      </c>
      <c r="AC74" s="117"/>
      <c r="AD74" s="118">
        <v>0.04</v>
      </c>
      <c r="AE74" s="118"/>
      <c r="AF74" s="119">
        <v>0</v>
      </c>
      <c r="AG74" s="63"/>
      <c r="AH74" s="118">
        <v>0.04</v>
      </c>
      <c r="AI74" s="63"/>
      <c r="AJ74" s="123"/>
      <c r="AK74" s="115">
        <f t="shared" si="5"/>
        <v>1449600</v>
      </c>
      <c r="AL74" s="116">
        <f>1510000*40%</f>
        <v>604000</v>
      </c>
      <c r="AM74" s="114">
        <v>0</v>
      </c>
      <c r="AN74" s="113">
        <v>0</v>
      </c>
      <c r="AO74" s="113">
        <v>0</v>
      </c>
      <c r="AP74" s="113">
        <f t="shared" si="2"/>
        <v>0</v>
      </c>
      <c r="AQ74" s="113">
        <f t="shared" si="8"/>
        <v>2053600</v>
      </c>
      <c r="AR74" s="63"/>
      <c r="AS74" s="63"/>
      <c r="AT74" s="63"/>
      <c r="AU74" s="63"/>
      <c r="AV74" s="120"/>
      <c r="AW74" s="121"/>
      <c r="AX74" s="63"/>
      <c r="AY74" s="63"/>
      <c r="AZ74" s="63"/>
      <c r="BA74" s="63"/>
      <c r="BB74" s="111"/>
      <c r="BC74" s="111"/>
      <c r="BD74" s="118">
        <v>0.01</v>
      </c>
      <c r="BE74" s="113">
        <f t="shared" ref="BE74:BE91" si="10">BD74*AA74</f>
        <v>3004900</v>
      </c>
    </row>
    <row r="75" spans="1:57">
      <c r="A75" s="63">
        <v>72</v>
      </c>
      <c r="B75" s="109">
        <v>46127</v>
      </c>
      <c r="C75" s="110">
        <v>4</v>
      </c>
      <c r="D75" s="63" t="s">
        <v>122</v>
      </c>
      <c r="E75" s="63" t="s">
        <v>559</v>
      </c>
      <c r="F75" s="63" t="s">
        <v>577</v>
      </c>
      <c r="G75" s="63" t="s">
        <v>578</v>
      </c>
      <c r="H75" s="63" t="s">
        <v>117</v>
      </c>
      <c r="I75" s="63" t="s">
        <v>150</v>
      </c>
      <c r="J75" s="63"/>
      <c r="K75" s="111" t="s">
        <v>117</v>
      </c>
      <c r="L75" s="63" t="s">
        <v>579</v>
      </c>
      <c r="M75" s="63" t="s">
        <v>107</v>
      </c>
      <c r="N75" s="63"/>
      <c r="O75" s="112">
        <v>46128</v>
      </c>
      <c r="P75" s="113">
        <v>819000000</v>
      </c>
      <c r="Q75" s="113">
        <v>49140000</v>
      </c>
      <c r="R75" s="208"/>
      <c r="S75" s="113"/>
      <c r="T75" s="114"/>
      <c r="U75" s="115"/>
      <c r="V75" s="116"/>
      <c r="W75" s="113"/>
      <c r="X75" s="113">
        <v>769860000</v>
      </c>
      <c r="Y75" s="113">
        <v>769860000</v>
      </c>
      <c r="Z75" s="113">
        <f t="shared" si="9"/>
        <v>0</v>
      </c>
      <c r="AA75" s="113">
        <v>769860000</v>
      </c>
      <c r="AB75" s="113">
        <v>786240000</v>
      </c>
      <c r="AC75" s="117"/>
      <c r="AD75" s="118">
        <v>0.04</v>
      </c>
      <c r="AE75" s="118"/>
      <c r="AF75" s="119">
        <v>0</v>
      </c>
      <c r="AG75" s="63"/>
      <c r="AH75" s="118">
        <v>0.04</v>
      </c>
      <c r="AI75" s="63"/>
      <c r="AJ75" s="123"/>
      <c r="AK75" s="115">
        <f t="shared" si="5"/>
        <v>47174400</v>
      </c>
      <c r="AL75" s="113"/>
      <c r="AM75" s="114">
        <v>0</v>
      </c>
      <c r="AN75" s="113">
        <v>15000000</v>
      </c>
      <c r="AO75" s="113">
        <v>10000000</v>
      </c>
      <c r="AP75" s="113">
        <f t="shared" si="2"/>
        <v>5000000</v>
      </c>
      <c r="AQ75" s="113">
        <f t="shared" si="8"/>
        <v>67174400</v>
      </c>
      <c r="AR75" s="63"/>
      <c r="AS75" s="63"/>
      <c r="AT75" s="63"/>
      <c r="AU75" s="63"/>
      <c r="AV75" s="120"/>
      <c r="AW75" s="121"/>
      <c r="AX75" s="63"/>
      <c r="AY75" s="63"/>
      <c r="AZ75" s="63"/>
      <c r="BA75" s="63"/>
      <c r="BB75" s="111"/>
      <c r="BC75" s="111"/>
      <c r="BD75" s="118">
        <v>0.01</v>
      </c>
      <c r="BE75" s="113">
        <f t="shared" si="10"/>
        <v>7698600</v>
      </c>
    </row>
    <row r="76" spans="1:57">
      <c r="A76" s="63">
        <v>73</v>
      </c>
      <c r="B76" s="109">
        <v>46127</v>
      </c>
      <c r="C76" s="110">
        <v>1</v>
      </c>
      <c r="D76" s="63" t="s">
        <v>138</v>
      </c>
      <c r="E76" s="63" t="s">
        <v>204</v>
      </c>
      <c r="F76" s="63" t="s">
        <v>580</v>
      </c>
      <c r="G76" s="63" t="s">
        <v>581</v>
      </c>
      <c r="H76" s="63" t="s">
        <v>52</v>
      </c>
      <c r="I76" s="63" t="s">
        <v>114</v>
      </c>
      <c r="J76" s="63"/>
      <c r="K76" s="111" t="s">
        <v>114</v>
      </c>
      <c r="L76" s="63" t="s">
        <v>582</v>
      </c>
      <c r="M76" s="63" t="s">
        <v>107</v>
      </c>
      <c r="N76" s="63"/>
      <c r="O76" s="112">
        <v>0</v>
      </c>
      <c r="P76" s="113">
        <v>749000000</v>
      </c>
      <c r="Q76" s="113">
        <v>44940000</v>
      </c>
      <c r="R76" s="208"/>
      <c r="S76" s="113"/>
      <c r="T76" s="114"/>
      <c r="U76" s="115"/>
      <c r="V76" s="116"/>
      <c r="W76" s="116">
        <v>10000000</v>
      </c>
      <c r="X76" s="113">
        <v>694060000</v>
      </c>
      <c r="Y76" s="113">
        <v>694060000</v>
      </c>
      <c r="Z76" s="113">
        <f t="shared" si="9"/>
        <v>0</v>
      </c>
      <c r="AA76" s="113">
        <v>704060000</v>
      </c>
      <c r="AB76" s="113">
        <v>719040000</v>
      </c>
      <c r="AC76" s="117"/>
      <c r="AD76" s="118">
        <v>0.04</v>
      </c>
      <c r="AE76" s="118"/>
      <c r="AF76" s="119">
        <v>0</v>
      </c>
      <c r="AG76" s="63"/>
      <c r="AH76" s="118">
        <v>0.04</v>
      </c>
      <c r="AI76" s="63"/>
      <c r="AJ76" s="123"/>
      <c r="AK76" s="115">
        <f t="shared" si="5"/>
        <v>43142400</v>
      </c>
      <c r="AL76" s="113"/>
      <c r="AM76" s="114">
        <v>0</v>
      </c>
      <c r="AN76" s="113">
        <v>0</v>
      </c>
      <c r="AO76" s="113">
        <v>0</v>
      </c>
      <c r="AP76" s="113">
        <f t="shared" si="2"/>
        <v>0</v>
      </c>
      <c r="AQ76" s="113">
        <f t="shared" si="8"/>
        <v>43142400</v>
      </c>
      <c r="AR76" s="63"/>
      <c r="AS76" s="63"/>
      <c r="AT76" s="63"/>
      <c r="AU76" s="63"/>
      <c r="AV76" s="120" t="s">
        <v>583</v>
      </c>
      <c r="AW76" s="121"/>
      <c r="AX76" s="63"/>
      <c r="AY76" s="63"/>
      <c r="AZ76" s="63"/>
      <c r="BA76" s="63"/>
      <c r="BB76" s="111">
        <v>9716840</v>
      </c>
      <c r="BC76" s="111"/>
      <c r="BD76" s="118">
        <v>0.01</v>
      </c>
      <c r="BE76" s="113">
        <f t="shared" si="10"/>
        <v>7040600</v>
      </c>
    </row>
    <row r="77" spans="1:57">
      <c r="A77" s="63">
        <v>74</v>
      </c>
      <c r="B77" s="109">
        <v>46127</v>
      </c>
      <c r="C77" s="110">
        <v>1</v>
      </c>
      <c r="D77" s="63" t="s">
        <v>138</v>
      </c>
      <c r="E77" s="63" t="s">
        <v>190</v>
      </c>
      <c r="F77" s="63" t="s">
        <v>584</v>
      </c>
      <c r="G77" s="63" t="s">
        <v>203</v>
      </c>
      <c r="H77" s="63" t="s">
        <v>155</v>
      </c>
      <c r="I77" s="63" t="s">
        <v>202</v>
      </c>
      <c r="J77" s="63"/>
      <c r="K77" s="111" t="s">
        <v>102</v>
      </c>
      <c r="L77" s="63" t="s">
        <v>25</v>
      </c>
      <c r="M77" s="63" t="s">
        <v>107</v>
      </c>
      <c r="N77" s="63"/>
      <c r="O77" s="112">
        <v>0</v>
      </c>
      <c r="P77" s="113">
        <v>310000000</v>
      </c>
      <c r="Q77" s="113">
        <v>18600000</v>
      </c>
      <c r="R77" s="208"/>
      <c r="S77" s="113"/>
      <c r="T77" s="114">
        <v>9300000</v>
      </c>
      <c r="U77" s="115"/>
      <c r="V77" s="116">
        <v>18000000</v>
      </c>
      <c r="W77" s="113"/>
      <c r="X77" s="113">
        <v>264100000</v>
      </c>
      <c r="Y77" s="113">
        <v>264100000</v>
      </c>
      <c r="Z77" s="113">
        <f t="shared" si="9"/>
        <v>0</v>
      </c>
      <c r="AA77" s="113">
        <v>264100000</v>
      </c>
      <c r="AB77" s="113">
        <v>297600000</v>
      </c>
      <c r="AC77" s="117"/>
      <c r="AD77" s="118">
        <v>0.04</v>
      </c>
      <c r="AE77" s="118"/>
      <c r="AF77" s="119">
        <v>0</v>
      </c>
      <c r="AG77" s="63"/>
      <c r="AH77" s="118">
        <v>0.04</v>
      </c>
      <c r="AI77" s="63"/>
      <c r="AJ77" s="123"/>
      <c r="AK77" s="115">
        <f t="shared" si="5"/>
        <v>44064000</v>
      </c>
      <c r="AL77" s="113"/>
      <c r="AM77" s="114">
        <v>0</v>
      </c>
      <c r="AN77" s="113">
        <v>0</v>
      </c>
      <c r="AO77" s="113">
        <v>0</v>
      </c>
      <c r="AP77" s="113">
        <f t="shared" si="2"/>
        <v>0</v>
      </c>
      <c r="AQ77" s="113">
        <f t="shared" si="8"/>
        <v>44064000</v>
      </c>
      <c r="AR77" s="63"/>
      <c r="AS77" s="63"/>
      <c r="AT77" s="63"/>
      <c r="AU77" s="63"/>
      <c r="AV77" s="120"/>
      <c r="AW77" s="121"/>
      <c r="AX77" s="63"/>
      <c r="AY77" s="63"/>
      <c r="AZ77" s="63"/>
      <c r="BA77" s="63"/>
      <c r="BB77" s="111"/>
      <c r="BC77" s="111"/>
      <c r="BD77" s="118">
        <v>0.01</v>
      </c>
      <c r="BE77" s="113">
        <f t="shared" si="10"/>
        <v>2641000</v>
      </c>
    </row>
    <row r="78" spans="1:57">
      <c r="A78" s="63">
        <v>75</v>
      </c>
      <c r="B78" s="109">
        <v>46127</v>
      </c>
      <c r="C78" s="110">
        <v>1</v>
      </c>
      <c r="D78" s="63" t="s">
        <v>138</v>
      </c>
      <c r="E78" s="63" t="s">
        <v>190</v>
      </c>
      <c r="F78" s="63" t="s">
        <v>585</v>
      </c>
      <c r="G78" s="63" t="s">
        <v>586</v>
      </c>
      <c r="H78" s="64" t="s">
        <v>164</v>
      </c>
      <c r="I78" s="63" t="s">
        <v>587</v>
      </c>
      <c r="J78" s="63"/>
      <c r="K78" s="111" t="s">
        <v>320</v>
      </c>
      <c r="L78" s="63" t="s">
        <v>588</v>
      </c>
      <c r="M78" s="63" t="s">
        <v>107</v>
      </c>
      <c r="N78" s="63"/>
      <c r="O78" s="112">
        <v>0</v>
      </c>
      <c r="P78" s="113">
        <v>799000000</v>
      </c>
      <c r="Q78" s="113">
        <v>47940000</v>
      </c>
      <c r="R78" s="208"/>
      <c r="S78" s="116">
        <v>0.01</v>
      </c>
      <c r="T78" s="114"/>
      <c r="U78" s="115"/>
      <c r="V78" s="116"/>
      <c r="W78" s="116">
        <v>5000000</v>
      </c>
      <c r="X78" s="113">
        <v>738699400</v>
      </c>
      <c r="Y78" s="113">
        <v>738699400</v>
      </c>
      <c r="Z78" s="113">
        <f t="shared" si="9"/>
        <v>0</v>
      </c>
      <c r="AA78" s="113">
        <v>743699400</v>
      </c>
      <c r="AB78" s="113">
        <v>763045000</v>
      </c>
      <c r="AC78" s="117"/>
      <c r="AD78" s="118">
        <v>4.4999999999999998E-2</v>
      </c>
      <c r="AE78" s="118"/>
      <c r="AF78" s="119">
        <v>0</v>
      </c>
      <c r="AG78" s="63"/>
      <c r="AH78" s="118">
        <v>4.4999999999999998E-2</v>
      </c>
      <c r="AI78" s="63"/>
      <c r="AJ78" s="123"/>
      <c r="AK78" s="115">
        <f t="shared" si="5"/>
        <v>52812073</v>
      </c>
      <c r="AL78" s="116">
        <f>7360600*40%</f>
        <v>2944240</v>
      </c>
      <c r="AM78" s="114">
        <v>0</v>
      </c>
      <c r="AN78" s="113">
        <v>0</v>
      </c>
      <c r="AO78" s="113">
        <v>15000000</v>
      </c>
      <c r="AP78" s="113">
        <f t="shared" si="2"/>
        <v>7500000</v>
      </c>
      <c r="AQ78" s="113">
        <f t="shared" si="8"/>
        <v>63256313</v>
      </c>
      <c r="AR78" s="63"/>
      <c r="AS78" s="63"/>
      <c r="AT78" s="63"/>
      <c r="AU78" s="63"/>
      <c r="AV78" s="120" t="s">
        <v>589</v>
      </c>
      <c r="AW78" s="121"/>
      <c r="AX78" s="63"/>
      <c r="AY78" s="63"/>
      <c r="AZ78" s="63"/>
      <c r="BA78" s="63"/>
      <c r="BB78" s="122">
        <v>7387000</v>
      </c>
      <c r="BC78" s="111"/>
      <c r="BD78" s="118">
        <v>0.01</v>
      </c>
      <c r="BE78" s="113">
        <f t="shared" si="10"/>
        <v>7436994</v>
      </c>
    </row>
    <row r="79" spans="1:57">
      <c r="A79" s="63">
        <v>76</v>
      </c>
      <c r="B79" s="109">
        <v>46127</v>
      </c>
      <c r="C79" s="110">
        <v>1</v>
      </c>
      <c r="D79" s="63" t="s">
        <v>138</v>
      </c>
      <c r="E79" s="63" t="s">
        <v>143</v>
      </c>
      <c r="F79" s="63" t="s">
        <v>590</v>
      </c>
      <c r="G79" s="63" t="s">
        <v>591</v>
      </c>
      <c r="H79" s="63" t="s">
        <v>173</v>
      </c>
      <c r="I79" s="63" t="s">
        <v>191</v>
      </c>
      <c r="J79" s="63"/>
      <c r="K79" s="111" t="s">
        <v>592</v>
      </c>
      <c r="L79" s="63" t="s">
        <v>593</v>
      </c>
      <c r="M79" s="63" t="s">
        <v>107</v>
      </c>
      <c r="N79" s="63"/>
      <c r="O79" s="112">
        <v>0</v>
      </c>
      <c r="P79" s="113">
        <v>697000000</v>
      </c>
      <c r="Q79" s="113">
        <v>41820000</v>
      </c>
      <c r="R79" s="208"/>
      <c r="S79" s="113"/>
      <c r="T79" s="114"/>
      <c r="U79" s="138">
        <v>0.05</v>
      </c>
      <c r="V79" s="116"/>
      <c r="W79" s="113"/>
      <c r="X79" s="113">
        <v>620330000</v>
      </c>
      <c r="Y79" s="113">
        <v>620330000</v>
      </c>
      <c r="Z79" s="113">
        <f t="shared" si="9"/>
        <v>0</v>
      </c>
      <c r="AA79" s="113">
        <v>620330000</v>
      </c>
      <c r="AB79" s="113">
        <v>669120000</v>
      </c>
      <c r="AC79" s="117"/>
      <c r="AD79" s="118">
        <v>0.04</v>
      </c>
      <c r="AE79" s="118"/>
      <c r="AF79" s="119">
        <v>0</v>
      </c>
      <c r="AG79" s="63"/>
      <c r="AH79" s="118">
        <v>0.04</v>
      </c>
      <c r="AI79" s="63"/>
      <c r="AJ79" s="123">
        <v>2.5000000000000001E-2</v>
      </c>
      <c r="AK79" s="115">
        <f t="shared" si="5"/>
        <v>56178200</v>
      </c>
      <c r="AL79" s="113"/>
      <c r="AM79" s="114">
        <v>0</v>
      </c>
      <c r="AN79" s="113">
        <v>0</v>
      </c>
      <c r="AO79" s="113">
        <v>0</v>
      </c>
      <c r="AP79" s="113">
        <f t="shared" si="2"/>
        <v>0</v>
      </c>
      <c r="AQ79" s="113">
        <f t="shared" si="8"/>
        <v>56178200</v>
      </c>
      <c r="AR79" s="63"/>
      <c r="AS79" s="63"/>
      <c r="AT79" s="63"/>
      <c r="AU79" s="63"/>
      <c r="AV79" s="120" t="s">
        <v>583</v>
      </c>
      <c r="AW79" s="121"/>
      <c r="AX79" s="63"/>
      <c r="AY79" s="63"/>
      <c r="AZ79" s="63"/>
      <c r="BA79" s="63"/>
      <c r="BB79" s="122">
        <v>8684620</v>
      </c>
      <c r="BC79" s="111"/>
      <c r="BD79" s="118">
        <v>0.01</v>
      </c>
      <c r="BE79" s="113">
        <f t="shared" si="10"/>
        <v>6203300</v>
      </c>
    </row>
    <row r="80" spans="1:57">
      <c r="A80" s="63">
        <v>77</v>
      </c>
      <c r="B80" s="109">
        <v>46127</v>
      </c>
      <c r="C80" s="110">
        <v>1</v>
      </c>
      <c r="D80" s="63" t="s">
        <v>138</v>
      </c>
      <c r="E80" s="63" t="s">
        <v>188</v>
      </c>
      <c r="F80" s="63" t="s">
        <v>594</v>
      </c>
      <c r="G80" s="63" t="s">
        <v>595</v>
      </c>
      <c r="H80" s="63" t="s">
        <v>155</v>
      </c>
      <c r="I80" s="63" t="s">
        <v>140</v>
      </c>
      <c r="J80" s="63"/>
      <c r="K80" s="111" t="s">
        <v>121</v>
      </c>
      <c r="L80" s="63" t="s">
        <v>596</v>
      </c>
      <c r="M80" s="63" t="s">
        <v>107</v>
      </c>
      <c r="N80" s="63"/>
      <c r="O80" s="112">
        <v>0</v>
      </c>
      <c r="P80" s="113">
        <v>323000000</v>
      </c>
      <c r="Q80" s="113">
        <v>19380000</v>
      </c>
      <c r="R80" s="208"/>
      <c r="S80" s="113"/>
      <c r="T80" s="114"/>
      <c r="U80" s="115"/>
      <c r="V80" s="116"/>
      <c r="W80" s="113"/>
      <c r="X80" s="113">
        <v>303620000</v>
      </c>
      <c r="Y80" s="113">
        <v>303620000</v>
      </c>
      <c r="Z80" s="113">
        <f t="shared" si="9"/>
        <v>0</v>
      </c>
      <c r="AA80" s="113">
        <v>303620000</v>
      </c>
      <c r="AB80" s="113">
        <v>310080000</v>
      </c>
      <c r="AC80" s="117"/>
      <c r="AD80" s="118">
        <v>0.04</v>
      </c>
      <c r="AE80" s="118"/>
      <c r="AF80" s="119">
        <v>0</v>
      </c>
      <c r="AG80" s="63"/>
      <c r="AH80" s="118">
        <v>0.04</v>
      </c>
      <c r="AI80" s="63"/>
      <c r="AJ80" s="123"/>
      <c r="AK80" s="115">
        <f t="shared" si="5"/>
        <v>18604800</v>
      </c>
      <c r="AL80" s="113"/>
      <c r="AM80" s="114">
        <v>0</v>
      </c>
      <c r="AN80" s="113">
        <v>0</v>
      </c>
      <c r="AO80" s="113">
        <v>0</v>
      </c>
      <c r="AP80" s="113">
        <f t="shared" si="2"/>
        <v>0</v>
      </c>
      <c r="AQ80" s="113">
        <f t="shared" si="8"/>
        <v>18604800</v>
      </c>
      <c r="AR80" s="63"/>
      <c r="AS80" s="63"/>
      <c r="AT80" s="63"/>
      <c r="AU80" s="63"/>
      <c r="AV80" s="120"/>
      <c r="AW80" s="121"/>
      <c r="AX80" s="63"/>
      <c r="AY80" s="63"/>
      <c r="AZ80" s="63"/>
      <c r="BA80" s="63"/>
      <c r="BB80" s="111"/>
      <c r="BC80" s="111"/>
      <c r="BD80" s="118">
        <v>0.01</v>
      </c>
      <c r="BE80" s="113">
        <f t="shared" si="10"/>
        <v>3036200</v>
      </c>
    </row>
    <row r="81" spans="1:57">
      <c r="A81" s="63">
        <v>78</v>
      </c>
      <c r="B81" s="109">
        <v>46127</v>
      </c>
      <c r="C81" s="110">
        <v>1</v>
      </c>
      <c r="D81" s="63" t="s">
        <v>138</v>
      </c>
      <c r="E81" s="63" t="s">
        <v>184</v>
      </c>
      <c r="F81" s="63" t="s">
        <v>597</v>
      </c>
      <c r="G81" s="63" t="s">
        <v>598</v>
      </c>
      <c r="H81" s="63" t="s">
        <v>173</v>
      </c>
      <c r="I81" s="63" t="s">
        <v>140</v>
      </c>
      <c r="J81" s="63"/>
      <c r="K81" s="111" t="s">
        <v>161</v>
      </c>
      <c r="L81" s="63" t="s">
        <v>599</v>
      </c>
      <c r="M81" s="63" t="s">
        <v>107</v>
      </c>
      <c r="N81" s="63"/>
      <c r="O81" s="112">
        <v>0</v>
      </c>
      <c r="P81" s="113">
        <v>745000000</v>
      </c>
      <c r="Q81" s="113">
        <v>44700000</v>
      </c>
      <c r="R81" s="208"/>
      <c r="S81" s="113"/>
      <c r="T81" s="114"/>
      <c r="U81" s="115"/>
      <c r="V81" s="116"/>
      <c r="W81" s="113"/>
      <c r="X81" s="113">
        <v>700300000</v>
      </c>
      <c r="Y81" s="113">
        <v>700300000</v>
      </c>
      <c r="Z81" s="113">
        <f t="shared" si="9"/>
        <v>0</v>
      </c>
      <c r="AA81" s="113">
        <v>700300000</v>
      </c>
      <c r="AB81" s="113">
        <v>715200000</v>
      </c>
      <c r="AC81" s="117"/>
      <c r="AD81" s="118">
        <v>0.04</v>
      </c>
      <c r="AE81" s="118"/>
      <c r="AF81" s="119">
        <v>0</v>
      </c>
      <c r="AG81" s="63"/>
      <c r="AH81" s="118">
        <v>0.04</v>
      </c>
      <c r="AI81" s="63"/>
      <c r="AJ81" s="123"/>
      <c r="AK81" s="115">
        <f t="shared" si="5"/>
        <v>42912000</v>
      </c>
      <c r="AL81" s="113"/>
      <c r="AM81" s="114">
        <v>0</v>
      </c>
      <c r="AN81" s="113">
        <v>0</v>
      </c>
      <c r="AO81" s="113">
        <v>0</v>
      </c>
      <c r="AP81" s="113">
        <f t="shared" si="2"/>
        <v>0</v>
      </c>
      <c r="AQ81" s="113">
        <f t="shared" si="8"/>
        <v>42912000</v>
      </c>
      <c r="AR81" s="63"/>
      <c r="AS81" s="63"/>
      <c r="AT81" s="63"/>
      <c r="AU81" s="63"/>
      <c r="AV81" s="120" t="s">
        <v>583</v>
      </c>
      <c r="AW81" s="121"/>
      <c r="AX81" s="63"/>
      <c r="AY81" s="63"/>
      <c r="AZ81" s="63"/>
      <c r="BA81" s="63"/>
      <c r="BB81" s="122">
        <v>9804200</v>
      </c>
      <c r="BC81" s="111"/>
      <c r="BD81" s="118">
        <v>0.01</v>
      </c>
      <c r="BE81" s="113">
        <f t="shared" si="10"/>
        <v>7003000</v>
      </c>
    </row>
    <row r="82" spans="1:57">
      <c r="A82" s="63">
        <v>79</v>
      </c>
      <c r="B82" s="109">
        <v>46127</v>
      </c>
      <c r="C82" s="110">
        <v>1</v>
      </c>
      <c r="D82" s="63" t="s">
        <v>138</v>
      </c>
      <c r="E82" s="63" t="s">
        <v>194</v>
      </c>
      <c r="F82" s="63" t="s">
        <v>600</v>
      </c>
      <c r="G82" s="63" t="s">
        <v>601</v>
      </c>
      <c r="H82" s="63" t="s">
        <v>155</v>
      </c>
      <c r="I82" s="63" t="s">
        <v>191</v>
      </c>
      <c r="J82" s="63"/>
      <c r="K82" s="111" t="s">
        <v>102</v>
      </c>
      <c r="L82" s="63" t="s">
        <v>602</v>
      </c>
      <c r="M82" s="63" t="s">
        <v>103</v>
      </c>
      <c r="N82" s="63"/>
      <c r="O82" s="112">
        <v>0</v>
      </c>
      <c r="P82" s="113">
        <v>310000000</v>
      </c>
      <c r="Q82" s="113">
        <v>18600000</v>
      </c>
      <c r="R82" s="208"/>
      <c r="S82" s="113"/>
      <c r="T82" s="114"/>
      <c r="U82" s="115"/>
      <c r="V82" s="116">
        <v>18000000</v>
      </c>
      <c r="W82" s="113"/>
      <c r="X82" s="113">
        <v>273400000</v>
      </c>
      <c r="Y82" s="113">
        <v>273400000</v>
      </c>
      <c r="Z82" s="113">
        <f t="shared" si="9"/>
        <v>0</v>
      </c>
      <c r="AA82" s="113">
        <v>273400000</v>
      </c>
      <c r="AB82" s="113">
        <v>297600000</v>
      </c>
      <c r="AC82" s="117"/>
      <c r="AD82" s="118">
        <v>0.04</v>
      </c>
      <c r="AE82" s="118"/>
      <c r="AF82" s="119">
        <v>0</v>
      </c>
      <c r="AG82" s="63"/>
      <c r="AH82" s="118">
        <v>0.04</v>
      </c>
      <c r="AI82" s="63"/>
      <c r="AJ82" s="123"/>
      <c r="AK82" s="115">
        <f t="shared" si="5"/>
        <v>35136000</v>
      </c>
      <c r="AL82" s="113"/>
      <c r="AM82" s="114">
        <v>0</v>
      </c>
      <c r="AN82" s="113">
        <v>0</v>
      </c>
      <c r="AO82" s="113">
        <v>0</v>
      </c>
      <c r="AP82" s="113">
        <f t="shared" si="2"/>
        <v>0</v>
      </c>
      <c r="AQ82" s="113">
        <f t="shared" si="8"/>
        <v>35136000</v>
      </c>
      <c r="AR82" s="63"/>
      <c r="AS82" s="63"/>
      <c r="AT82" s="63"/>
      <c r="AU82" s="63"/>
      <c r="AV82" s="120" t="s">
        <v>583</v>
      </c>
      <c r="AW82" s="121"/>
      <c r="AX82" s="63"/>
      <c r="AY82" s="63"/>
      <c r="AZ82" s="63"/>
      <c r="BA82" s="63"/>
      <c r="BB82" s="111">
        <v>4500000</v>
      </c>
      <c r="BC82" s="111"/>
      <c r="BD82" s="123">
        <v>0.01</v>
      </c>
      <c r="BE82" s="113">
        <f t="shared" si="10"/>
        <v>2734000</v>
      </c>
    </row>
    <row r="83" spans="1:57">
      <c r="A83" s="63">
        <v>80</v>
      </c>
      <c r="B83" s="109">
        <v>46127</v>
      </c>
      <c r="C83" s="110">
        <v>1</v>
      </c>
      <c r="D83" s="63" t="s">
        <v>138</v>
      </c>
      <c r="E83" s="63" t="s">
        <v>194</v>
      </c>
      <c r="F83" s="63" t="s">
        <v>600</v>
      </c>
      <c r="G83" s="63" t="s">
        <v>603</v>
      </c>
      <c r="H83" s="63" t="s">
        <v>155</v>
      </c>
      <c r="I83" s="63" t="s">
        <v>191</v>
      </c>
      <c r="J83" s="63"/>
      <c r="K83" s="111" t="s">
        <v>102</v>
      </c>
      <c r="L83" s="63" t="s">
        <v>604</v>
      </c>
      <c r="M83" s="63" t="s">
        <v>107</v>
      </c>
      <c r="N83" s="63"/>
      <c r="O83" s="112">
        <v>0</v>
      </c>
      <c r="P83" s="113">
        <v>310000000</v>
      </c>
      <c r="Q83" s="113">
        <v>18600000</v>
      </c>
      <c r="R83" s="208"/>
      <c r="S83" s="113"/>
      <c r="T83" s="114"/>
      <c r="U83" s="115"/>
      <c r="V83" s="116">
        <v>18000000</v>
      </c>
      <c r="W83" s="113"/>
      <c r="X83" s="113">
        <v>273400000</v>
      </c>
      <c r="Y83" s="113">
        <v>273400000</v>
      </c>
      <c r="Z83" s="113">
        <f t="shared" si="9"/>
        <v>0</v>
      </c>
      <c r="AA83" s="113">
        <v>273400000</v>
      </c>
      <c r="AB83" s="113">
        <v>297600000</v>
      </c>
      <c r="AC83" s="117"/>
      <c r="AD83" s="118">
        <v>0.04</v>
      </c>
      <c r="AE83" s="118"/>
      <c r="AF83" s="119">
        <v>0</v>
      </c>
      <c r="AG83" s="63"/>
      <c r="AH83" s="118">
        <v>0.04</v>
      </c>
      <c r="AI83" s="63"/>
      <c r="AJ83" s="123"/>
      <c r="AK83" s="115">
        <f t="shared" si="5"/>
        <v>35136000</v>
      </c>
      <c r="AL83" s="113"/>
      <c r="AM83" s="114">
        <v>0</v>
      </c>
      <c r="AN83" s="113">
        <v>0</v>
      </c>
      <c r="AO83" s="113">
        <v>0</v>
      </c>
      <c r="AP83" s="113">
        <f t="shared" si="2"/>
        <v>0</v>
      </c>
      <c r="AQ83" s="113">
        <f t="shared" si="8"/>
        <v>35136000</v>
      </c>
      <c r="AR83" s="63"/>
      <c r="AS83" s="63"/>
      <c r="AT83" s="63"/>
      <c r="AU83" s="63"/>
      <c r="AV83" s="120" t="s">
        <v>583</v>
      </c>
      <c r="AW83" s="121"/>
      <c r="AX83" s="63"/>
      <c r="AY83" s="63"/>
      <c r="AZ83" s="63"/>
      <c r="BA83" s="63"/>
      <c r="BB83" s="111">
        <v>4500000</v>
      </c>
      <c r="BC83" s="111"/>
      <c r="BD83" s="118">
        <v>0.01</v>
      </c>
      <c r="BE83" s="113">
        <f t="shared" si="10"/>
        <v>2734000</v>
      </c>
    </row>
    <row r="84" spans="1:57">
      <c r="A84" s="63">
        <v>81</v>
      </c>
      <c r="B84" s="109">
        <v>46127</v>
      </c>
      <c r="C84" s="110">
        <v>1</v>
      </c>
      <c r="D84" s="63" t="s">
        <v>138</v>
      </c>
      <c r="E84" s="63" t="s">
        <v>187</v>
      </c>
      <c r="F84" s="63" t="s">
        <v>605</v>
      </c>
      <c r="G84" s="63" t="s">
        <v>606</v>
      </c>
      <c r="H84" s="63" t="s">
        <v>173</v>
      </c>
      <c r="I84" s="63" t="s">
        <v>140</v>
      </c>
      <c r="J84" s="63"/>
      <c r="K84" s="111" t="s">
        <v>161</v>
      </c>
      <c r="L84" s="63" t="s">
        <v>607</v>
      </c>
      <c r="M84" s="63" t="s">
        <v>107</v>
      </c>
      <c r="N84" s="63"/>
      <c r="O84" s="112">
        <v>0</v>
      </c>
      <c r="P84" s="113">
        <v>745000000</v>
      </c>
      <c r="Q84" s="113">
        <v>44700000</v>
      </c>
      <c r="R84" s="208"/>
      <c r="S84" s="113"/>
      <c r="T84" s="114"/>
      <c r="U84" s="115"/>
      <c r="V84" s="116"/>
      <c r="W84" s="116">
        <v>10000000</v>
      </c>
      <c r="X84" s="113">
        <v>690300000</v>
      </c>
      <c r="Y84" s="113">
        <v>690300000</v>
      </c>
      <c r="Z84" s="113">
        <f t="shared" si="9"/>
        <v>0</v>
      </c>
      <c r="AA84" s="113">
        <v>700300000</v>
      </c>
      <c r="AB84" s="113">
        <v>715200000</v>
      </c>
      <c r="AC84" s="117"/>
      <c r="AD84" s="118">
        <v>0.04</v>
      </c>
      <c r="AE84" s="118"/>
      <c r="AF84" s="119">
        <v>0</v>
      </c>
      <c r="AG84" s="63"/>
      <c r="AH84" s="118">
        <v>0.04</v>
      </c>
      <c r="AI84" s="63"/>
      <c r="AJ84" s="123"/>
      <c r="AK84" s="115">
        <f t="shared" si="5"/>
        <v>42912000</v>
      </c>
      <c r="AL84" s="113"/>
      <c r="AM84" s="114">
        <v>0</v>
      </c>
      <c r="AN84" s="113">
        <v>0</v>
      </c>
      <c r="AO84" s="113">
        <v>0</v>
      </c>
      <c r="AP84" s="113">
        <f t="shared" si="2"/>
        <v>0</v>
      </c>
      <c r="AQ84" s="113">
        <f t="shared" si="8"/>
        <v>42912000</v>
      </c>
      <c r="AR84" s="63"/>
      <c r="AS84" s="63"/>
      <c r="AT84" s="63"/>
      <c r="AU84" s="63"/>
      <c r="AV84" s="120"/>
      <c r="AW84" s="121"/>
      <c r="AX84" s="63"/>
      <c r="AY84" s="63"/>
      <c r="AZ84" s="63"/>
      <c r="BA84" s="63"/>
      <c r="BB84" s="111"/>
      <c r="BC84" s="111"/>
      <c r="BD84" s="118">
        <v>0.01</v>
      </c>
      <c r="BE84" s="113">
        <f t="shared" si="10"/>
        <v>7003000</v>
      </c>
    </row>
    <row r="85" spans="1:57">
      <c r="A85" s="63">
        <v>82</v>
      </c>
      <c r="B85" s="109">
        <v>46127</v>
      </c>
      <c r="C85" s="110">
        <v>1</v>
      </c>
      <c r="D85" s="63" t="s">
        <v>138</v>
      </c>
      <c r="E85" s="63" t="s">
        <v>188</v>
      </c>
      <c r="F85" s="63" t="s">
        <v>608</v>
      </c>
      <c r="G85" s="63" t="s">
        <v>609</v>
      </c>
      <c r="H85" s="63" t="s">
        <v>167</v>
      </c>
      <c r="I85" s="63" t="s">
        <v>140</v>
      </c>
      <c r="J85" s="63"/>
      <c r="K85" s="111" t="s">
        <v>119</v>
      </c>
      <c r="L85" s="63" t="s">
        <v>610</v>
      </c>
      <c r="M85" s="63" t="s">
        <v>107</v>
      </c>
      <c r="N85" s="63"/>
      <c r="O85" s="112">
        <v>0</v>
      </c>
      <c r="P85" s="113">
        <v>529000000</v>
      </c>
      <c r="Q85" s="113">
        <v>31740000</v>
      </c>
      <c r="R85" s="208"/>
      <c r="S85" s="113"/>
      <c r="T85" s="114"/>
      <c r="U85" s="115"/>
      <c r="V85" s="116"/>
      <c r="W85" s="113"/>
      <c r="X85" s="113">
        <v>497260000</v>
      </c>
      <c r="Y85" s="113">
        <v>497260000</v>
      </c>
      <c r="Z85" s="113">
        <f t="shared" si="9"/>
        <v>0</v>
      </c>
      <c r="AA85" s="113">
        <v>497260000</v>
      </c>
      <c r="AB85" s="113">
        <v>507840000</v>
      </c>
      <c r="AC85" s="117"/>
      <c r="AD85" s="118">
        <v>0.04</v>
      </c>
      <c r="AE85" s="118"/>
      <c r="AF85" s="119">
        <v>0</v>
      </c>
      <c r="AG85" s="63"/>
      <c r="AH85" s="118">
        <v>0.04</v>
      </c>
      <c r="AI85" s="63"/>
      <c r="AJ85" s="123"/>
      <c r="AK85" s="115">
        <f t="shared" si="5"/>
        <v>30470400</v>
      </c>
      <c r="AL85" s="113"/>
      <c r="AM85" s="114">
        <v>0</v>
      </c>
      <c r="AN85" s="113">
        <v>0</v>
      </c>
      <c r="AO85" s="113">
        <v>0</v>
      </c>
      <c r="AP85" s="113">
        <f t="shared" si="2"/>
        <v>0</v>
      </c>
      <c r="AQ85" s="113">
        <f t="shared" si="8"/>
        <v>30470400</v>
      </c>
      <c r="AR85" s="63"/>
      <c r="AS85" s="63"/>
      <c r="AT85" s="63"/>
      <c r="AU85" s="63"/>
      <c r="AV85" s="120"/>
      <c r="AW85" s="121"/>
      <c r="AX85" s="63"/>
      <c r="AY85" s="63"/>
      <c r="AZ85" s="63"/>
      <c r="BA85" s="63"/>
      <c r="BB85" s="111"/>
      <c r="BC85" s="111"/>
      <c r="BD85" s="118">
        <v>0.01</v>
      </c>
      <c r="BE85" s="113">
        <f t="shared" si="10"/>
        <v>4972600</v>
      </c>
    </row>
    <row r="86" spans="1:57">
      <c r="A86" s="63">
        <v>83</v>
      </c>
      <c r="B86" s="109">
        <v>46127</v>
      </c>
      <c r="C86" s="110">
        <v>1</v>
      </c>
      <c r="D86" s="64" t="s">
        <v>104</v>
      </c>
      <c r="E86" s="64" t="s">
        <v>21</v>
      </c>
      <c r="F86" s="63" t="s">
        <v>611</v>
      </c>
      <c r="G86" s="64" t="s">
        <v>612</v>
      </c>
      <c r="H86" s="64" t="s">
        <v>322</v>
      </c>
      <c r="I86" s="64" t="s">
        <v>105</v>
      </c>
      <c r="J86" s="64"/>
      <c r="K86" s="126" t="s">
        <v>323</v>
      </c>
      <c r="L86" s="64" t="s">
        <v>613</v>
      </c>
      <c r="M86" s="64" t="s">
        <v>103</v>
      </c>
      <c r="N86" s="64"/>
      <c r="O86" s="127">
        <v>0</v>
      </c>
      <c r="P86" s="128">
        <v>1699000000</v>
      </c>
      <c r="Q86" s="128">
        <v>169900000</v>
      </c>
      <c r="R86" s="209"/>
      <c r="S86" s="128"/>
      <c r="T86" s="129">
        <v>50970000</v>
      </c>
      <c r="U86" s="128"/>
      <c r="V86" s="130"/>
      <c r="W86" s="128"/>
      <c r="X86" s="128">
        <v>1478130000</v>
      </c>
      <c r="Y86" s="128">
        <v>1478130000</v>
      </c>
      <c r="Z86" s="113">
        <f t="shared" si="9"/>
        <v>0</v>
      </c>
      <c r="AA86" s="128">
        <v>1478130000</v>
      </c>
      <c r="AB86" s="113">
        <v>1597060000</v>
      </c>
      <c r="AC86" s="131"/>
      <c r="AD86" s="132">
        <v>0.06</v>
      </c>
      <c r="AE86" s="132"/>
      <c r="AF86" s="133">
        <v>0</v>
      </c>
      <c r="AG86" s="64"/>
      <c r="AH86" s="132">
        <v>0.06</v>
      </c>
      <c r="AI86" s="64"/>
      <c r="AJ86" s="160"/>
      <c r="AK86" s="128">
        <f t="shared" si="5"/>
        <v>207617800</v>
      </c>
      <c r="AL86" s="128"/>
      <c r="AM86" s="114">
        <v>0</v>
      </c>
      <c r="AN86" s="113">
        <v>0</v>
      </c>
      <c r="AO86" s="113">
        <v>0</v>
      </c>
      <c r="AP86" s="113">
        <f t="shared" si="2"/>
        <v>0</v>
      </c>
      <c r="AQ86" s="113">
        <f t="shared" si="8"/>
        <v>207617800</v>
      </c>
      <c r="AR86" s="64"/>
      <c r="AS86" s="64"/>
      <c r="AT86" s="64"/>
      <c r="AU86" s="64"/>
      <c r="AV86" s="134" t="s">
        <v>614</v>
      </c>
      <c r="AW86" s="135"/>
      <c r="AX86" s="64"/>
      <c r="AY86" s="64"/>
      <c r="AZ86" s="64"/>
      <c r="BA86" s="64"/>
      <c r="BB86" s="126">
        <f>14781300+943400</f>
        <v>15724700</v>
      </c>
      <c r="BC86" s="126"/>
      <c r="BD86" s="160">
        <v>0.02</v>
      </c>
      <c r="BE86" s="113">
        <f t="shared" si="10"/>
        <v>29562600</v>
      </c>
    </row>
    <row r="87" spans="1:57">
      <c r="A87" s="63">
        <v>84</v>
      </c>
      <c r="B87" s="109">
        <v>46127</v>
      </c>
      <c r="C87" s="110">
        <v>1</v>
      </c>
      <c r="D87" s="64" t="s">
        <v>104</v>
      </c>
      <c r="E87" s="64" t="s">
        <v>615</v>
      </c>
      <c r="F87" s="63" t="s">
        <v>616</v>
      </c>
      <c r="G87" s="64" t="s">
        <v>617</v>
      </c>
      <c r="H87" s="63" t="s">
        <v>52</v>
      </c>
      <c r="I87" s="64" t="s">
        <v>172</v>
      </c>
      <c r="J87" s="64"/>
      <c r="K87" s="126" t="s">
        <v>114</v>
      </c>
      <c r="L87" s="64" t="s">
        <v>618</v>
      </c>
      <c r="M87" s="64" t="s">
        <v>107</v>
      </c>
      <c r="N87" s="64"/>
      <c r="O87" s="127">
        <v>0</v>
      </c>
      <c r="P87" s="128">
        <v>749000000</v>
      </c>
      <c r="Q87" s="128"/>
      <c r="R87" s="208">
        <v>7.0000000000000007E-2</v>
      </c>
      <c r="S87" s="128"/>
      <c r="T87" s="129"/>
      <c r="U87" s="128"/>
      <c r="V87" s="130"/>
      <c r="W87" s="128"/>
      <c r="X87" s="128">
        <v>749000000</v>
      </c>
      <c r="Y87" s="128">
        <v>749000000</v>
      </c>
      <c r="Z87" s="113">
        <f t="shared" si="9"/>
        <v>0</v>
      </c>
      <c r="AA87" s="128">
        <v>749000000</v>
      </c>
      <c r="AB87" s="113">
        <v>719040000</v>
      </c>
      <c r="AC87" s="131"/>
      <c r="AD87" s="132">
        <v>0.04</v>
      </c>
      <c r="AE87" s="132"/>
      <c r="AF87" s="133">
        <v>0</v>
      </c>
      <c r="AG87" s="64"/>
      <c r="AH87" s="132">
        <v>0.04</v>
      </c>
      <c r="AI87" s="64"/>
      <c r="AJ87" s="160"/>
      <c r="AK87" s="128">
        <f t="shared" si="5"/>
        <v>0</v>
      </c>
      <c r="AL87" s="128"/>
      <c r="AM87" s="114">
        <v>0</v>
      </c>
      <c r="AN87" s="113">
        <v>0</v>
      </c>
      <c r="AO87" s="113">
        <v>10000000</v>
      </c>
      <c r="AP87" s="113">
        <f t="shared" si="2"/>
        <v>5000000</v>
      </c>
      <c r="AQ87" s="113">
        <f t="shared" si="8"/>
        <v>5000000</v>
      </c>
      <c r="AR87" s="64"/>
      <c r="AS87" s="64"/>
      <c r="AT87" s="64"/>
      <c r="AU87" s="64"/>
      <c r="AV87" s="134" t="s">
        <v>619</v>
      </c>
      <c r="AW87" s="135"/>
      <c r="AX87" s="64"/>
      <c r="AY87" s="64"/>
      <c r="AZ87" s="64"/>
      <c r="BA87" s="64"/>
      <c r="BB87" s="106">
        <v>10471020</v>
      </c>
      <c r="BC87" s="126"/>
      <c r="BD87" s="118">
        <v>0.01</v>
      </c>
      <c r="BE87" s="113">
        <f t="shared" si="10"/>
        <v>7490000</v>
      </c>
    </row>
    <row r="88" spans="1:57">
      <c r="A88" s="63">
        <v>85</v>
      </c>
      <c r="B88" s="109">
        <v>46127</v>
      </c>
      <c r="C88" s="110">
        <v>1</v>
      </c>
      <c r="D88" s="64" t="s">
        <v>104</v>
      </c>
      <c r="E88" s="64" t="s">
        <v>466</v>
      </c>
      <c r="F88" s="63" t="s">
        <v>620</v>
      </c>
      <c r="G88" s="64" t="s">
        <v>621</v>
      </c>
      <c r="H88" s="63" t="s">
        <v>155</v>
      </c>
      <c r="I88" s="64" t="s">
        <v>622</v>
      </c>
      <c r="J88" s="64"/>
      <c r="K88" s="126" t="s">
        <v>102</v>
      </c>
      <c r="L88" s="64" t="s">
        <v>623</v>
      </c>
      <c r="M88" s="64" t="s">
        <v>107</v>
      </c>
      <c r="N88" s="64"/>
      <c r="O88" s="127">
        <v>0</v>
      </c>
      <c r="P88" s="128">
        <v>310000000</v>
      </c>
      <c r="Q88" s="128">
        <v>18600000</v>
      </c>
      <c r="R88" s="209"/>
      <c r="S88" s="128"/>
      <c r="T88" s="129"/>
      <c r="U88" s="128"/>
      <c r="V88" s="130">
        <v>18000000</v>
      </c>
      <c r="W88" s="128"/>
      <c r="X88" s="128">
        <v>273400000</v>
      </c>
      <c r="Y88" s="128">
        <v>273400000</v>
      </c>
      <c r="Z88" s="113">
        <f t="shared" si="9"/>
        <v>0</v>
      </c>
      <c r="AA88" s="128">
        <v>273400000</v>
      </c>
      <c r="AB88" s="113">
        <v>297600000</v>
      </c>
      <c r="AC88" s="131"/>
      <c r="AD88" s="132">
        <v>0.04</v>
      </c>
      <c r="AE88" s="132"/>
      <c r="AF88" s="133">
        <v>0</v>
      </c>
      <c r="AG88" s="64"/>
      <c r="AH88" s="132">
        <v>0.04</v>
      </c>
      <c r="AI88" s="64"/>
      <c r="AJ88" s="160"/>
      <c r="AK88" s="128">
        <f t="shared" si="5"/>
        <v>35136000</v>
      </c>
      <c r="AL88" s="128"/>
      <c r="AM88" s="114">
        <v>0</v>
      </c>
      <c r="AN88" s="113">
        <v>0</v>
      </c>
      <c r="AO88" s="113">
        <v>0</v>
      </c>
      <c r="AP88" s="113">
        <f t="shared" si="2"/>
        <v>0</v>
      </c>
      <c r="AQ88" s="113">
        <f t="shared" si="8"/>
        <v>35136000</v>
      </c>
      <c r="AR88" s="64"/>
      <c r="AS88" s="64"/>
      <c r="AT88" s="64"/>
      <c r="AU88" s="64"/>
      <c r="AV88" s="134" t="s">
        <v>624</v>
      </c>
      <c r="AW88" s="135"/>
      <c r="AX88" s="64"/>
      <c r="AY88" s="64"/>
      <c r="AZ88" s="64"/>
      <c r="BA88" s="64"/>
      <c r="BB88" s="126">
        <f>5500000+530700</f>
        <v>6030700</v>
      </c>
      <c r="BC88" s="126"/>
      <c r="BD88" s="118">
        <v>0.01</v>
      </c>
      <c r="BE88" s="113">
        <f t="shared" si="10"/>
        <v>2734000</v>
      </c>
    </row>
    <row r="89" spans="1:57">
      <c r="A89" s="63">
        <v>86</v>
      </c>
      <c r="B89" s="109">
        <v>46127</v>
      </c>
      <c r="C89" s="110">
        <v>1</v>
      </c>
      <c r="D89" s="64" t="s">
        <v>104</v>
      </c>
      <c r="E89" s="64" t="s">
        <v>345</v>
      </c>
      <c r="F89" s="63" t="s">
        <v>625</v>
      </c>
      <c r="G89" s="64" t="s">
        <v>626</v>
      </c>
      <c r="H89" s="63" t="s">
        <v>155</v>
      </c>
      <c r="I89" s="64" t="s">
        <v>105</v>
      </c>
      <c r="J89" s="64"/>
      <c r="K89" s="126" t="s">
        <v>106</v>
      </c>
      <c r="L89" s="64" t="s">
        <v>627</v>
      </c>
      <c r="M89" s="64" t="s">
        <v>107</v>
      </c>
      <c r="N89" s="64"/>
      <c r="O89" s="127">
        <v>0</v>
      </c>
      <c r="P89" s="128">
        <v>315000000</v>
      </c>
      <c r="Q89" s="128">
        <v>18900000</v>
      </c>
      <c r="R89" s="209"/>
      <c r="S89" s="128"/>
      <c r="T89" s="129">
        <v>9450000</v>
      </c>
      <c r="U89" s="128"/>
      <c r="V89" s="130">
        <v>2500000</v>
      </c>
      <c r="W89" s="128"/>
      <c r="X89" s="128">
        <v>284150000</v>
      </c>
      <c r="Y89" s="128">
        <v>284150000</v>
      </c>
      <c r="Z89" s="113">
        <f t="shared" si="9"/>
        <v>0</v>
      </c>
      <c r="AA89" s="128">
        <v>284150000</v>
      </c>
      <c r="AB89" s="113">
        <v>302400000</v>
      </c>
      <c r="AC89" s="131"/>
      <c r="AD89" s="132">
        <v>0.04</v>
      </c>
      <c r="AE89" s="132"/>
      <c r="AF89" s="133">
        <v>0</v>
      </c>
      <c r="AG89" s="64"/>
      <c r="AH89" s="132">
        <v>0.04</v>
      </c>
      <c r="AI89" s="64"/>
      <c r="AJ89" s="160"/>
      <c r="AK89" s="128">
        <f t="shared" si="5"/>
        <v>29616000</v>
      </c>
      <c r="AL89" s="128"/>
      <c r="AM89" s="114">
        <v>0</v>
      </c>
      <c r="AN89" s="113">
        <v>0</v>
      </c>
      <c r="AO89" s="113">
        <v>0</v>
      </c>
      <c r="AP89" s="113">
        <f t="shared" si="2"/>
        <v>0</v>
      </c>
      <c r="AQ89" s="113">
        <f t="shared" si="8"/>
        <v>29616000</v>
      </c>
      <c r="AR89" s="64"/>
      <c r="AS89" s="64"/>
      <c r="AT89" s="64"/>
      <c r="AU89" s="64"/>
      <c r="AV89" s="134"/>
      <c r="AW89" s="135"/>
      <c r="AX89" s="64"/>
      <c r="AY89" s="64"/>
      <c r="AZ89" s="64"/>
      <c r="BA89" s="64"/>
      <c r="BB89" s="126"/>
      <c r="BC89" s="126"/>
      <c r="BD89" s="118">
        <v>0.01</v>
      </c>
      <c r="BE89" s="113">
        <f t="shared" si="10"/>
        <v>2841500</v>
      </c>
    </row>
    <row r="90" spans="1:57">
      <c r="A90" s="63">
        <v>87</v>
      </c>
      <c r="B90" s="109">
        <v>46127</v>
      </c>
      <c r="C90" s="110">
        <v>1</v>
      </c>
      <c r="D90" s="64" t="s">
        <v>104</v>
      </c>
      <c r="E90" s="64" t="s">
        <v>345</v>
      </c>
      <c r="F90" s="63" t="s">
        <v>628</v>
      </c>
      <c r="G90" s="64" t="s">
        <v>629</v>
      </c>
      <c r="H90" s="63" t="s">
        <v>167</v>
      </c>
      <c r="I90" s="64" t="s">
        <v>105</v>
      </c>
      <c r="J90" s="64"/>
      <c r="K90" s="126" t="s">
        <v>119</v>
      </c>
      <c r="L90" s="127" t="s">
        <v>630</v>
      </c>
      <c r="M90" s="64" t="s">
        <v>107</v>
      </c>
      <c r="N90" s="64"/>
      <c r="O90" s="127">
        <v>0</v>
      </c>
      <c r="P90" s="128">
        <v>529000000</v>
      </c>
      <c r="Q90" s="128">
        <v>31740000</v>
      </c>
      <c r="R90" s="209"/>
      <c r="S90" s="130">
        <v>5.0000000000000001E-3</v>
      </c>
      <c r="T90" s="129">
        <v>15870000</v>
      </c>
      <c r="U90" s="128"/>
      <c r="V90" s="130">
        <v>15000000</v>
      </c>
      <c r="W90" s="130">
        <v>6000000</v>
      </c>
      <c r="X90" s="128">
        <v>458058050</v>
      </c>
      <c r="Y90" s="128">
        <v>458058000</v>
      </c>
      <c r="Z90" s="113">
        <f t="shared" si="9"/>
        <v>50</v>
      </c>
      <c r="AA90" s="128">
        <v>464058050</v>
      </c>
      <c r="AB90" s="113">
        <v>507840000</v>
      </c>
      <c r="AC90" s="131"/>
      <c r="AD90" s="132">
        <v>0.04</v>
      </c>
      <c r="AE90" s="132"/>
      <c r="AF90" s="133">
        <v>0</v>
      </c>
      <c r="AG90" s="64"/>
      <c r="AH90" s="132">
        <v>0.04</v>
      </c>
      <c r="AI90" s="64"/>
      <c r="AJ90" s="160"/>
      <c r="AK90" s="128">
        <f t="shared" si="5"/>
        <v>62344272</v>
      </c>
      <c r="AL90" s="130">
        <f>2331950*40%</f>
        <v>932780</v>
      </c>
      <c r="AM90" s="114">
        <v>0</v>
      </c>
      <c r="AN90" s="113">
        <v>0</v>
      </c>
      <c r="AO90" s="113">
        <v>0</v>
      </c>
      <c r="AP90" s="113">
        <f t="shared" si="2"/>
        <v>0</v>
      </c>
      <c r="AQ90" s="113">
        <f t="shared" si="8"/>
        <v>63277052</v>
      </c>
      <c r="AR90" s="64"/>
      <c r="AS90" s="64"/>
      <c r="AT90" s="64"/>
      <c r="AU90" s="64"/>
      <c r="AV90" s="134"/>
      <c r="AW90" s="135"/>
      <c r="AX90" s="64"/>
      <c r="AY90" s="64"/>
      <c r="AZ90" s="64"/>
      <c r="BA90" s="64"/>
      <c r="BB90" s="126"/>
      <c r="BC90" s="126"/>
      <c r="BD90" s="118">
        <v>0.01</v>
      </c>
      <c r="BE90" s="113">
        <f t="shared" si="10"/>
        <v>4640580.5</v>
      </c>
    </row>
    <row r="91" spans="1:57">
      <c r="A91" s="63">
        <v>88</v>
      </c>
      <c r="B91" s="109">
        <v>46127</v>
      </c>
      <c r="C91" s="110">
        <v>1</v>
      </c>
      <c r="D91" s="64" t="s">
        <v>104</v>
      </c>
      <c r="E91" s="64" t="s">
        <v>147</v>
      </c>
      <c r="F91" s="63" t="s">
        <v>631</v>
      </c>
      <c r="G91" s="64" t="s">
        <v>632</v>
      </c>
      <c r="H91" s="63" t="s">
        <v>52</v>
      </c>
      <c r="I91" s="64" t="s">
        <v>172</v>
      </c>
      <c r="J91" s="64"/>
      <c r="K91" s="126" t="s">
        <v>114</v>
      </c>
      <c r="L91" s="127" t="s">
        <v>633</v>
      </c>
      <c r="M91" s="64" t="s">
        <v>103</v>
      </c>
      <c r="N91" s="64"/>
      <c r="O91" s="127">
        <v>0</v>
      </c>
      <c r="P91" s="128">
        <v>749000000</v>
      </c>
      <c r="Q91" s="128">
        <v>44940000</v>
      </c>
      <c r="R91" s="209"/>
      <c r="S91" s="128"/>
      <c r="T91" s="129">
        <v>22470000</v>
      </c>
      <c r="U91" s="128"/>
      <c r="V91" s="130"/>
      <c r="W91" s="130">
        <v>6000000</v>
      </c>
      <c r="X91" s="128">
        <v>675590000</v>
      </c>
      <c r="Y91" s="128">
        <v>675590000</v>
      </c>
      <c r="Z91" s="113">
        <f t="shared" si="9"/>
        <v>0</v>
      </c>
      <c r="AA91" s="128">
        <v>681590000</v>
      </c>
      <c r="AB91" s="113">
        <v>719040000</v>
      </c>
      <c r="AC91" s="131"/>
      <c r="AD91" s="132">
        <v>0.04</v>
      </c>
      <c r="AE91" s="132"/>
      <c r="AF91" s="133">
        <v>0</v>
      </c>
      <c r="AG91" s="64"/>
      <c r="AH91" s="132">
        <v>0.04</v>
      </c>
      <c r="AI91" s="64"/>
      <c r="AJ91" s="160"/>
      <c r="AK91" s="128">
        <f t="shared" si="5"/>
        <v>64713600</v>
      </c>
      <c r="AL91" s="128"/>
      <c r="AM91" s="114">
        <v>0</v>
      </c>
      <c r="AN91" s="113">
        <v>0</v>
      </c>
      <c r="AO91" s="113">
        <v>0</v>
      </c>
      <c r="AP91" s="113">
        <f t="shared" si="2"/>
        <v>0</v>
      </c>
      <c r="AQ91" s="113">
        <f t="shared" si="8"/>
        <v>64713600</v>
      </c>
      <c r="AR91" s="64"/>
      <c r="AS91" s="64"/>
      <c r="AT91" s="64"/>
      <c r="AU91" s="64"/>
      <c r="AV91" s="134" t="s">
        <v>634</v>
      </c>
      <c r="AW91" s="135"/>
      <c r="AX91" s="64"/>
      <c r="AY91" s="64"/>
      <c r="AZ91" s="64"/>
      <c r="BA91" s="64"/>
      <c r="BB91" s="106">
        <v>11518810</v>
      </c>
      <c r="BC91" s="126"/>
      <c r="BD91" s="160">
        <v>0.01</v>
      </c>
      <c r="BE91" s="113">
        <f t="shared" si="10"/>
        <v>6815900</v>
      </c>
    </row>
    <row r="92" spans="1:57">
      <c r="A92" s="63">
        <v>89</v>
      </c>
      <c r="B92" s="109">
        <v>46127</v>
      </c>
      <c r="C92" s="110">
        <v>4</v>
      </c>
      <c r="D92" s="63" t="s">
        <v>100</v>
      </c>
      <c r="E92" s="63" t="s">
        <v>158</v>
      </c>
      <c r="F92" s="63" t="s">
        <v>635</v>
      </c>
      <c r="G92" s="63" t="s">
        <v>636</v>
      </c>
      <c r="H92" s="63" t="s">
        <v>155</v>
      </c>
      <c r="I92" s="63" t="s">
        <v>105</v>
      </c>
      <c r="J92" s="63"/>
      <c r="K92" s="111" t="s">
        <v>106</v>
      </c>
      <c r="L92" s="63" t="s">
        <v>637</v>
      </c>
      <c r="M92" s="63" t="s">
        <v>120</v>
      </c>
      <c r="N92" s="63"/>
      <c r="O92" s="112">
        <v>46133</v>
      </c>
      <c r="P92" s="113">
        <v>315000000</v>
      </c>
      <c r="Q92" s="113">
        <v>18900000</v>
      </c>
      <c r="R92" s="208"/>
      <c r="S92" s="113"/>
      <c r="T92" s="114"/>
      <c r="U92" s="115"/>
      <c r="V92" s="116"/>
      <c r="W92" s="113"/>
      <c r="X92" s="113">
        <v>296100000</v>
      </c>
      <c r="Y92" s="113">
        <v>296100000</v>
      </c>
      <c r="Z92" s="113">
        <f t="shared" si="9"/>
        <v>0</v>
      </c>
      <c r="AA92" s="113">
        <v>296100000</v>
      </c>
      <c r="AB92" s="113">
        <v>302400000</v>
      </c>
      <c r="AC92" s="117"/>
      <c r="AD92" s="118">
        <v>0.04</v>
      </c>
      <c r="AE92" s="118"/>
      <c r="AF92" s="119">
        <v>0</v>
      </c>
      <c r="AG92" s="63"/>
      <c r="AH92" s="118">
        <v>0.04</v>
      </c>
      <c r="AI92" s="63"/>
      <c r="AJ92" s="123"/>
      <c r="AK92" s="115">
        <f t="shared" si="5"/>
        <v>18144000</v>
      </c>
      <c r="AL92" s="113"/>
      <c r="AM92" s="114">
        <v>0</v>
      </c>
      <c r="AN92" s="113">
        <v>0</v>
      </c>
      <c r="AO92" s="113">
        <v>0</v>
      </c>
      <c r="AP92" s="113">
        <f t="shared" si="2"/>
        <v>0</v>
      </c>
      <c r="AQ92" s="113">
        <f t="shared" si="8"/>
        <v>18144000</v>
      </c>
      <c r="AR92" s="63"/>
      <c r="AS92" s="63"/>
      <c r="AT92" s="63"/>
      <c r="AU92" s="63"/>
      <c r="AV92" s="120" t="s">
        <v>336</v>
      </c>
      <c r="AW92" s="121"/>
      <c r="AX92" s="63"/>
      <c r="AY92" s="63"/>
      <c r="AZ92" s="63"/>
      <c r="BA92" s="63"/>
      <c r="BB92" s="111"/>
      <c r="BC92" s="111"/>
      <c r="BD92" s="123"/>
      <c r="BE92" s="113"/>
    </row>
    <row r="93" spans="1:57">
      <c r="A93" s="63">
        <v>90</v>
      </c>
      <c r="B93" s="109">
        <v>46127</v>
      </c>
      <c r="C93" s="110">
        <v>4</v>
      </c>
      <c r="D93" s="63" t="s">
        <v>112</v>
      </c>
      <c r="E93" s="63" t="s">
        <v>157</v>
      </c>
      <c r="F93" s="63" t="s">
        <v>638</v>
      </c>
      <c r="G93" s="63" t="s">
        <v>639</v>
      </c>
      <c r="H93" s="63" t="s">
        <v>155</v>
      </c>
      <c r="I93" s="117" t="s">
        <v>105</v>
      </c>
      <c r="J93" s="63"/>
      <c r="K93" s="111" t="s">
        <v>106</v>
      </c>
      <c r="L93" s="63" t="s">
        <v>640</v>
      </c>
      <c r="M93" s="63" t="s">
        <v>103</v>
      </c>
      <c r="N93" s="63"/>
      <c r="O93" s="112">
        <v>46125</v>
      </c>
      <c r="P93" s="113">
        <v>315000000</v>
      </c>
      <c r="Q93" s="113">
        <v>18900000</v>
      </c>
      <c r="R93" s="208"/>
      <c r="S93" s="113"/>
      <c r="T93" s="114"/>
      <c r="U93" s="115"/>
      <c r="V93" s="116"/>
      <c r="W93" s="113"/>
      <c r="X93" s="113">
        <v>296100000</v>
      </c>
      <c r="Y93" s="113">
        <v>296100000</v>
      </c>
      <c r="Z93" s="113">
        <f t="shared" si="9"/>
        <v>0</v>
      </c>
      <c r="AA93" s="113">
        <v>296100000</v>
      </c>
      <c r="AB93" s="113">
        <v>302400000</v>
      </c>
      <c r="AC93" s="117"/>
      <c r="AD93" s="118">
        <v>0.04</v>
      </c>
      <c r="AE93" s="118"/>
      <c r="AF93" s="119">
        <v>0</v>
      </c>
      <c r="AG93" s="63"/>
      <c r="AH93" s="118">
        <v>0.04</v>
      </c>
      <c r="AI93" s="63"/>
      <c r="AJ93" s="123"/>
      <c r="AK93" s="115">
        <f t="shared" si="5"/>
        <v>18144000</v>
      </c>
      <c r="AL93" s="113"/>
      <c r="AM93" s="114">
        <v>0</v>
      </c>
      <c r="AN93" s="113">
        <v>0</v>
      </c>
      <c r="AO93" s="113">
        <v>5000000</v>
      </c>
      <c r="AP93" s="113">
        <f t="shared" si="2"/>
        <v>2500000</v>
      </c>
      <c r="AQ93" s="113">
        <f t="shared" si="8"/>
        <v>20644000</v>
      </c>
      <c r="AR93" s="63"/>
      <c r="AS93" s="63"/>
      <c r="AT93" s="63"/>
      <c r="AU93" s="63"/>
      <c r="AV93" s="140" t="s">
        <v>368</v>
      </c>
      <c r="AW93" s="121" t="s">
        <v>249</v>
      </c>
      <c r="AX93" s="63"/>
      <c r="AY93" s="63"/>
      <c r="AZ93" s="63"/>
      <c r="BA93" s="142"/>
      <c r="BB93" s="111"/>
      <c r="BC93" s="111"/>
      <c r="BD93" s="160">
        <v>0.01</v>
      </c>
      <c r="BE93" s="113">
        <f>BD93*AA93</f>
        <v>2961000</v>
      </c>
    </row>
    <row r="94" spans="1:57">
      <c r="A94" s="63">
        <v>91</v>
      </c>
      <c r="B94" s="109">
        <v>46127</v>
      </c>
      <c r="C94" s="110">
        <v>4</v>
      </c>
      <c r="D94" s="63" t="s">
        <v>112</v>
      </c>
      <c r="E94" s="63" t="s">
        <v>116</v>
      </c>
      <c r="F94" s="63" t="s">
        <v>641</v>
      </c>
      <c r="G94" s="63" t="s">
        <v>642</v>
      </c>
      <c r="H94" s="63" t="s">
        <v>155</v>
      </c>
      <c r="I94" s="63" t="s">
        <v>130</v>
      </c>
      <c r="J94" s="63"/>
      <c r="K94" s="111" t="s">
        <v>102</v>
      </c>
      <c r="L94" s="63" t="s">
        <v>643</v>
      </c>
      <c r="M94" s="63" t="s">
        <v>103</v>
      </c>
      <c r="N94" s="63"/>
      <c r="O94" s="112">
        <v>46125</v>
      </c>
      <c r="P94" s="113">
        <v>310000000</v>
      </c>
      <c r="Q94" s="113">
        <v>18600000</v>
      </c>
      <c r="R94" s="208"/>
      <c r="S94" s="113"/>
      <c r="T94" s="114"/>
      <c r="U94" s="115"/>
      <c r="V94" s="116">
        <v>18000000</v>
      </c>
      <c r="W94" s="113"/>
      <c r="X94" s="113">
        <v>273400000</v>
      </c>
      <c r="Y94" s="113">
        <v>273400000</v>
      </c>
      <c r="Z94" s="113">
        <f t="shared" si="9"/>
        <v>0</v>
      </c>
      <c r="AA94" s="113">
        <v>273400000</v>
      </c>
      <c r="AB94" s="113">
        <v>297600000</v>
      </c>
      <c r="AC94" s="117"/>
      <c r="AD94" s="118">
        <v>0.04</v>
      </c>
      <c r="AE94" s="118"/>
      <c r="AF94" s="119">
        <v>0</v>
      </c>
      <c r="AG94" s="63"/>
      <c r="AH94" s="118">
        <v>0.04</v>
      </c>
      <c r="AI94" s="63"/>
      <c r="AJ94" s="123"/>
      <c r="AK94" s="115">
        <f t="shared" si="5"/>
        <v>35136000</v>
      </c>
      <c r="AL94" s="113"/>
      <c r="AM94" s="114">
        <v>0</v>
      </c>
      <c r="AN94" s="113">
        <v>0</v>
      </c>
      <c r="AO94" s="113">
        <v>5000000</v>
      </c>
      <c r="AP94" s="113">
        <f t="shared" si="2"/>
        <v>2500000</v>
      </c>
      <c r="AQ94" s="113">
        <f t="shared" si="8"/>
        <v>37636000</v>
      </c>
      <c r="AR94" s="63"/>
      <c r="AS94" s="63"/>
      <c r="AT94" s="63"/>
      <c r="AU94" s="63"/>
      <c r="AV94" s="140" t="s">
        <v>368</v>
      </c>
      <c r="AW94" s="121" t="s">
        <v>249</v>
      </c>
      <c r="AX94" s="63"/>
      <c r="AY94" s="63"/>
      <c r="AZ94" s="63"/>
      <c r="BA94" s="142"/>
      <c r="BB94" s="111"/>
      <c r="BC94" s="111"/>
      <c r="BD94" s="160">
        <v>0.01</v>
      </c>
      <c r="BE94" s="113">
        <f>BD94*AA94</f>
        <v>2734000</v>
      </c>
    </row>
    <row r="95" spans="1:57" ht="26.5">
      <c r="A95" s="63">
        <v>92</v>
      </c>
      <c r="B95" s="109">
        <v>46127</v>
      </c>
      <c r="C95" s="110">
        <v>4</v>
      </c>
      <c r="D95" s="63" t="s">
        <v>112</v>
      </c>
      <c r="E95" s="63" t="s">
        <v>116</v>
      </c>
      <c r="F95" s="63" t="s">
        <v>644</v>
      </c>
      <c r="G95" s="63" t="s">
        <v>645</v>
      </c>
      <c r="H95" s="63" t="s">
        <v>155</v>
      </c>
      <c r="I95" s="63" t="s">
        <v>134</v>
      </c>
      <c r="J95" s="63"/>
      <c r="K95" s="111" t="s">
        <v>108</v>
      </c>
      <c r="L95" s="63" t="s">
        <v>646</v>
      </c>
      <c r="M95" s="63" t="s">
        <v>103</v>
      </c>
      <c r="N95" s="63"/>
      <c r="O95" s="112">
        <v>46125</v>
      </c>
      <c r="P95" s="113">
        <v>302000000</v>
      </c>
      <c r="Q95" s="113">
        <v>18120000</v>
      </c>
      <c r="R95" s="208"/>
      <c r="S95" s="113"/>
      <c r="T95" s="114"/>
      <c r="U95" s="115"/>
      <c r="V95" s="116"/>
      <c r="W95" s="113"/>
      <c r="X95" s="113">
        <v>283880000</v>
      </c>
      <c r="Y95" s="113">
        <v>283880000</v>
      </c>
      <c r="Z95" s="113">
        <f t="shared" si="9"/>
        <v>0</v>
      </c>
      <c r="AA95" s="113">
        <v>283880000</v>
      </c>
      <c r="AB95" s="113">
        <v>289920000</v>
      </c>
      <c r="AC95" s="117"/>
      <c r="AD95" s="118">
        <v>0.04</v>
      </c>
      <c r="AE95" s="118"/>
      <c r="AF95" s="119">
        <v>0</v>
      </c>
      <c r="AG95" s="63"/>
      <c r="AH95" s="118">
        <v>0.04</v>
      </c>
      <c r="AI95" s="63"/>
      <c r="AJ95" s="123"/>
      <c r="AK95" s="115">
        <f t="shared" si="5"/>
        <v>17395200</v>
      </c>
      <c r="AL95" s="113"/>
      <c r="AM95" s="114">
        <v>0</v>
      </c>
      <c r="AN95" s="113">
        <v>0</v>
      </c>
      <c r="AO95" s="113">
        <v>0</v>
      </c>
      <c r="AP95" s="113">
        <f t="shared" si="2"/>
        <v>0</v>
      </c>
      <c r="AQ95" s="113">
        <f t="shared" si="8"/>
        <v>17395200</v>
      </c>
      <c r="AR95" s="63"/>
      <c r="AS95" s="63"/>
      <c r="AT95" s="63"/>
      <c r="AU95" s="63"/>
      <c r="AV95" s="140" t="s">
        <v>368</v>
      </c>
      <c r="AW95" s="143" t="s">
        <v>647</v>
      </c>
      <c r="AX95" s="63"/>
      <c r="AY95" s="63"/>
      <c r="AZ95" s="63"/>
      <c r="BA95" s="142"/>
      <c r="BB95" s="111"/>
      <c r="BC95" s="111"/>
      <c r="BD95" s="160">
        <v>0.01</v>
      </c>
      <c r="BE95" s="113">
        <f>BD95*AA95</f>
        <v>2838800</v>
      </c>
    </row>
    <row r="96" spans="1:57">
      <c r="A96" s="63">
        <v>93</v>
      </c>
      <c r="B96" s="109">
        <v>46127</v>
      </c>
      <c r="C96" s="110">
        <v>4</v>
      </c>
      <c r="D96" s="63" t="s">
        <v>112</v>
      </c>
      <c r="E96" s="63" t="s">
        <v>137</v>
      </c>
      <c r="F96" s="63" t="s">
        <v>648</v>
      </c>
      <c r="G96" s="63" t="s">
        <v>649</v>
      </c>
      <c r="H96" s="63" t="s">
        <v>167</v>
      </c>
      <c r="I96" s="117" t="s">
        <v>105</v>
      </c>
      <c r="J96" s="63"/>
      <c r="K96" s="111" t="s">
        <v>119</v>
      </c>
      <c r="L96" s="63" t="s">
        <v>650</v>
      </c>
      <c r="M96" s="63" t="s">
        <v>103</v>
      </c>
      <c r="N96" s="63"/>
      <c r="O96" s="112">
        <v>46125</v>
      </c>
      <c r="P96" s="113">
        <v>529000000</v>
      </c>
      <c r="Q96" s="113">
        <v>31740000</v>
      </c>
      <c r="R96" s="208"/>
      <c r="S96" s="113"/>
      <c r="T96" s="114"/>
      <c r="U96" s="115"/>
      <c r="V96" s="116"/>
      <c r="W96" s="116">
        <v>10000000</v>
      </c>
      <c r="X96" s="113">
        <v>487260000</v>
      </c>
      <c r="Y96" s="113">
        <v>487260000</v>
      </c>
      <c r="Z96" s="113">
        <f t="shared" si="9"/>
        <v>0</v>
      </c>
      <c r="AA96" s="113">
        <v>497260000</v>
      </c>
      <c r="AB96" s="113">
        <v>507840000</v>
      </c>
      <c r="AC96" s="117"/>
      <c r="AD96" s="118">
        <v>0.04</v>
      </c>
      <c r="AE96" s="118"/>
      <c r="AF96" s="119">
        <v>0</v>
      </c>
      <c r="AG96" s="63"/>
      <c r="AH96" s="118">
        <v>0.04</v>
      </c>
      <c r="AI96" s="63"/>
      <c r="AJ96" s="123"/>
      <c r="AK96" s="115">
        <f t="shared" si="5"/>
        <v>30470400</v>
      </c>
      <c r="AL96" s="113"/>
      <c r="AM96" s="114">
        <v>0</v>
      </c>
      <c r="AN96" s="113">
        <v>0</v>
      </c>
      <c r="AO96" s="113">
        <v>0</v>
      </c>
      <c r="AP96" s="113">
        <f t="shared" si="2"/>
        <v>0</v>
      </c>
      <c r="AQ96" s="113">
        <f t="shared" si="8"/>
        <v>30470400</v>
      </c>
      <c r="AR96" s="63"/>
      <c r="AS96" s="63"/>
      <c r="AT96" s="63"/>
      <c r="AU96" s="63"/>
      <c r="AV96" s="140" t="s">
        <v>368</v>
      </c>
      <c r="AW96" s="121" t="s">
        <v>249</v>
      </c>
      <c r="AX96" s="63"/>
      <c r="AY96" s="63"/>
      <c r="AZ96" s="63"/>
      <c r="BA96" s="142"/>
      <c r="BB96" s="111"/>
      <c r="BC96" s="111"/>
      <c r="BD96" s="160">
        <v>0.01</v>
      </c>
      <c r="BE96" s="113">
        <f>BD96*AA96</f>
        <v>4972600</v>
      </c>
    </row>
    <row r="97" spans="1:57">
      <c r="A97" s="63">
        <v>94</v>
      </c>
      <c r="B97" s="109">
        <v>46127</v>
      </c>
      <c r="C97" s="110">
        <v>4</v>
      </c>
      <c r="D97" s="63" t="s">
        <v>112</v>
      </c>
      <c r="E97" s="63" t="s">
        <v>135</v>
      </c>
      <c r="F97" s="63" t="s">
        <v>651</v>
      </c>
      <c r="G97" s="63" t="s">
        <v>652</v>
      </c>
      <c r="H97" s="63" t="s">
        <v>52</v>
      </c>
      <c r="I97" s="63" t="s">
        <v>52</v>
      </c>
      <c r="J97" s="63"/>
      <c r="K97" s="111" t="s">
        <v>114</v>
      </c>
      <c r="L97" s="63" t="s">
        <v>653</v>
      </c>
      <c r="M97" s="63" t="s">
        <v>103</v>
      </c>
      <c r="N97" s="63"/>
      <c r="O97" s="112">
        <v>46126</v>
      </c>
      <c r="P97" s="113">
        <v>749000000</v>
      </c>
      <c r="Q97" s="113">
        <v>44940000</v>
      </c>
      <c r="R97" s="208"/>
      <c r="S97" s="113"/>
      <c r="T97" s="114"/>
      <c r="U97" s="115"/>
      <c r="V97" s="116"/>
      <c r="W97" s="113"/>
      <c r="X97" s="113">
        <v>704060000</v>
      </c>
      <c r="Y97" s="113">
        <v>704060000</v>
      </c>
      <c r="Z97" s="113">
        <f t="shared" si="9"/>
        <v>0</v>
      </c>
      <c r="AA97" s="113">
        <v>704060000</v>
      </c>
      <c r="AB97" s="113">
        <v>719040000</v>
      </c>
      <c r="AC97" s="117"/>
      <c r="AD97" s="118">
        <v>0.04</v>
      </c>
      <c r="AE97" s="118"/>
      <c r="AF97" s="119">
        <v>0</v>
      </c>
      <c r="AG97" s="63"/>
      <c r="AH97" s="118">
        <v>0.04</v>
      </c>
      <c r="AI97" s="63"/>
      <c r="AJ97" s="123"/>
      <c r="AK97" s="115">
        <f t="shared" si="5"/>
        <v>43142400</v>
      </c>
      <c r="AL97" s="113"/>
      <c r="AM97" s="114">
        <v>0</v>
      </c>
      <c r="AN97" s="113">
        <v>0</v>
      </c>
      <c r="AO97" s="113">
        <v>10000000</v>
      </c>
      <c r="AP97" s="113">
        <f t="shared" si="2"/>
        <v>5000000</v>
      </c>
      <c r="AQ97" s="113">
        <f t="shared" si="8"/>
        <v>48142400</v>
      </c>
      <c r="AR97" s="63"/>
      <c r="AS97" s="63"/>
      <c r="AT97" s="63"/>
      <c r="AU97" s="63"/>
      <c r="AV97" s="140" t="s">
        <v>368</v>
      </c>
      <c r="AW97" s="121" t="s">
        <v>249</v>
      </c>
      <c r="AX97" s="63"/>
      <c r="AY97" s="63"/>
      <c r="AZ97" s="63"/>
      <c r="BA97" s="142"/>
      <c r="BB97" s="111"/>
      <c r="BC97" s="111"/>
      <c r="BD97" s="123"/>
      <c r="BE97" s="113"/>
    </row>
    <row r="98" spans="1:57">
      <c r="A98" s="63">
        <v>95</v>
      </c>
      <c r="B98" s="109">
        <v>46127</v>
      </c>
      <c r="C98" s="110">
        <v>4</v>
      </c>
      <c r="D98" s="63" t="s">
        <v>112</v>
      </c>
      <c r="E98" s="63" t="s">
        <v>137</v>
      </c>
      <c r="F98" s="63" t="s">
        <v>654</v>
      </c>
      <c r="G98" s="63" t="s">
        <v>655</v>
      </c>
      <c r="H98" s="63" t="s">
        <v>117</v>
      </c>
      <c r="I98" s="63" t="s">
        <v>117</v>
      </c>
      <c r="J98" s="63"/>
      <c r="K98" s="111" t="s">
        <v>117</v>
      </c>
      <c r="L98" s="63" t="s">
        <v>656</v>
      </c>
      <c r="M98" s="63" t="s">
        <v>103</v>
      </c>
      <c r="N98" s="63"/>
      <c r="O98" s="112">
        <v>46126</v>
      </c>
      <c r="P98" s="113">
        <v>819000000</v>
      </c>
      <c r="Q98" s="113"/>
      <c r="R98" s="208">
        <v>7.0000000000000007E-2</v>
      </c>
      <c r="S98" s="113"/>
      <c r="T98" s="114"/>
      <c r="U98" s="115"/>
      <c r="V98" s="116"/>
      <c r="W98" s="113"/>
      <c r="X98" s="113">
        <v>819000000</v>
      </c>
      <c r="Y98" s="113">
        <v>819000000</v>
      </c>
      <c r="Z98" s="113">
        <f t="shared" si="9"/>
        <v>0</v>
      </c>
      <c r="AA98" s="113">
        <v>819000000</v>
      </c>
      <c r="AB98" s="113">
        <v>786240000</v>
      </c>
      <c r="AC98" s="117"/>
      <c r="AD98" s="118">
        <v>0.04</v>
      </c>
      <c r="AE98" s="118"/>
      <c r="AF98" s="119">
        <v>0</v>
      </c>
      <c r="AG98" s="63"/>
      <c r="AH98" s="118">
        <v>0.04</v>
      </c>
      <c r="AI98" s="63"/>
      <c r="AJ98" s="123"/>
      <c r="AK98" s="115">
        <f t="shared" si="5"/>
        <v>0</v>
      </c>
      <c r="AL98" s="113"/>
      <c r="AM98" s="114">
        <v>15000000</v>
      </c>
      <c r="AN98" s="113">
        <v>0</v>
      </c>
      <c r="AO98" s="113">
        <v>10000000</v>
      </c>
      <c r="AP98" s="113">
        <f t="shared" si="2"/>
        <v>5000000</v>
      </c>
      <c r="AQ98" s="113">
        <f t="shared" si="8"/>
        <v>20000000</v>
      </c>
      <c r="AR98" s="63"/>
      <c r="AS98" s="63"/>
      <c r="AT98" s="63"/>
      <c r="AU98" s="63"/>
      <c r="AV98" s="144" t="s">
        <v>383</v>
      </c>
      <c r="AW98" s="121" t="s">
        <v>249</v>
      </c>
      <c r="AX98" s="63"/>
      <c r="AY98" s="63"/>
      <c r="AZ98" s="63"/>
      <c r="BA98" s="142"/>
      <c r="BB98" s="111"/>
      <c r="BC98" s="111"/>
      <c r="BD98" s="123"/>
      <c r="BE98" s="113"/>
    </row>
    <row r="99" spans="1:57">
      <c r="A99" s="63">
        <v>96</v>
      </c>
      <c r="B99" s="109">
        <v>46127</v>
      </c>
      <c r="C99" s="110">
        <v>4</v>
      </c>
      <c r="D99" s="63" t="s">
        <v>112</v>
      </c>
      <c r="E99" s="63" t="s">
        <v>132</v>
      </c>
      <c r="F99" s="63" t="s">
        <v>657</v>
      </c>
      <c r="G99" s="63" t="s">
        <v>658</v>
      </c>
      <c r="H99" s="63" t="s">
        <v>167</v>
      </c>
      <c r="I99" s="117" t="s">
        <v>105</v>
      </c>
      <c r="J99" s="63"/>
      <c r="K99" s="111" t="s">
        <v>119</v>
      </c>
      <c r="L99" s="63" t="s">
        <v>659</v>
      </c>
      <c r="M99" s="63" t="s">
        <v>103</v>
      </c>
      <c r="N99" s="63"/>
      <c r="O99" s="112">
        <v>46127</v>
      </c>
      <c r="P99" s="113">
        <v>529000000</v>
      </c>
      <c r="Q99" s="113"/>
      <c r="R99" s="208">
        <v>7.0000000000000007E-2</v>
      </c>
      <c r="S99" s="113"/>
      <c r="T99" s="114">
        <v>15870000</v>
      </c>
      <c r="U99" s="115"/>
      <c r="V99" s="116"/>
      <c r="W99" s="116">
        <v>10000000</v>
      </c>
      <c r="X99" s="113">
        <v>503130000</v>
      </c>
      <c r="Y99" s="113">
        <v>503130000</v>
      </c>
      <c r="Z99" s="113">
        <f t="shared" si="9"/>
        <v>0</v>
      </c>
      <c r="AA99" s="113">
        <v>513130000</v>
      </c>
      <c r="AB99" s="113">
        <v>507840000</v>
      </c>
      <c r="AC99" s="117"/>
      <c r="AD99" s="118">
        <v>0.04</v>
      </c>
      <c r="AE99" s="118"/>
      <c r="AF99" s="119">
        <v>0</v>
      </c>
      <c r="AG99" s="63"/>
      <c r="AH99" s="118">
        <v>0.04</v>
      </c>
      <c r="AI99" s="63"/>
      <c r="AJ99" s="123"/>
      <c r="AK99" s="115">
        <f t="shared" si="5"/>
        <v>15235200</v>
      </c>
      <c r="AL99" s="113"/>
      <c r="AM99" s="114">
        <v>0</v>
      </c>
      <c r="AN99" s="113">
        <v>0</v>
      </c>
      <c r="AO99" s="113">
        <v>7000000</v>
      </c>
      <c r="AP99" s="113">
        <f t="shared" si="2"/>
        <v>3500000</v>
      </c>
      <c r="AQ99" s="113">
        <f t="shared" si="8"/>
        <v>18735200</v>
      </c>
      <c r="AR99" s="63"/>
      <c r="AS99" s="63"/>
      <c r="AT99" s="63"/>
      <c r="AU99" s="63"/>
      <c r="AV99" s="140" t="s">
        <v>368</v>
      </c>
      <c r="AW99" s="121" t="s">
        <v>249</v>
      </c>
      <c r="AX99" s="63"/>
      <c r="AY99" s="63"/>
      <c r="AZ99" s="63"/>
      <c r="BA99" s="142"/>
      <c r="BB99" s="111"/>
      <c r="BC99" s="111"/>
      <c r="BD99" s="123"/>
      <c r="BE99" s="113"/>
    </row>
    <row r="100" spans="1:57">
      <c r="A100" s="63">
        <v>97</v>
      </c>
      <c r="B100" s="109">
        <v>46127</v>
      </c>
      <c r="C100" s="110">
        <v>4</v>
      </c>
      <c r="D100" s="63" t="s">
        <v>112</v>
      </c>
      <c r="E100" s="63" t="s">
        <v>176</v>
      </c>
      <c r="F100" s="63" t="s">
        <v>660</v>
      </c>
      <c r="G100" s="63" t="s">
        <v>661</v>
      </c>
      <c r="H100" s="63" t="s">
        <v>155</v>
      </c>
      <c r="I100" s="117" t="s">
        <v>105</v>
      </c>
      <c r="J100" s="63"/>
      <c r="K100" s="111" t="s">
        <v>106</v>
      </c>
      <c r="L100" s="63" t="s">
        <v>662</v>
      </c>
      <c r="M100" s="63" t="s">
        <v>103</v>
      </c>
      <c r="N100" s="63"/>
      <c r="O100" s="112">
        <v>46129</v>
      </c>
      <c r="P100" s="113">
        <v>315000000</v>
      </c>
      <c r="Q100" s="113">
        <v>18900000</v>
      </c>
      <c r="R100" s="208"/>
      <c r="S100" s="113"/>
      <c r="T100" s="114"/>
      <c r="U100" s="115"/>
      <c r="V100" s="116"/>
      <c r="W100" s="113"/>
      <c r="X100" s="113">
        <v>296100000</v>
      </c>
      <c r="Y100" s="113">
        <v>296100000</v>
      </c>
      <c r="Z100" s="113">
        <f t="shared" si="9"/>
        <v>0</v>
      </c>
      <c r="AA100" s="113">
        <v>296100000</v>
      </c>
      <c r="AB100" s="113">
        <v>302400000</v>
      </c>
      <c r="AC100" s="117"/>
      <c r="AD100" s="118">
        <v>0.04</v>
      </c>
      <c r="AE100" s="118"/>
      <c r="AF100" s="119">
        <v>0</v>
      </c>
      <c r="AG100" s="63"/>
      <c r="AH100" s="118">
        <v>0.04</v>
      </c>
      <c r="AI100" s="63"/>
      <c r="AJ100" s="123"/>
      <c r="AK100" s="115">
        <f t="shared" si="5"/>
        <v>18144000</v>
      </c>
      <c r="AL100" s="113"/>
      <c r="AM100" s="114">
        <v>0</v>
      </c>
      <c r="AN100" s="113">
        <v>0</v>
      </c>
      <c r="AO100" s="113">
        <v>0</v>
      </c>
      <c r="AP100" s="113">
        <f t="shared" si="2"/>
        <v>0</v>
      </c>
      <c r="AQ100" s="113">
        <f t="shared" si="8"/>
        <v>18144000</v>
      </c>
      <c r="AR100" s="63"/>
      <c r="AS100" s="63"/>
      <c r="AT100" s="63"/>
      <c r="AU100" s="63"/>
      <c r="AV100" s="140" t="s">
        <v>368</v>
      </c>
      <c r="AW100" s="121" t="s">
        <v>249</v>
      </c>
      <c r="AX100" s="63"/>
      <c r="AY100" s="63"/>
      <c r="AZ100" s="63"/>
      <c r="BA100" s="142"/>
      <c r="BB100" s="111"/>
      <c r="BC100" s="111"/>
      <c r="BD100" s="123"/>
      <c r="BE100" s="113"/>
    </row>
    <row r="101" spans="1:57">
      <c r="A101" s="63">
        <v>98</v>
      </c>
      <c r="B101" s="109">
        <v>46127</v>
      </c>
      <c r="C101" s="110">
        <v>4</v>
      </c>
      <c r="D101" s="63" t="s">
        <v>112</v>
      </c>
      <c r="E101" s="63" t="s">
        <v>176</v>
      </c>
      <c r="F101" s="63" t="s">
        <v>663</v>
      </c>
      <c r="G101" s="63" t="s">
        <v>664</v>
      </c>
      <c r="H101" s="65" t="s">
        <v>58</v>
      </c>
      <c r="I101" s="63" t="s">
        <v>174</v>
      </c>
      <c r="J101" s="63"/>
      <c r="K101" s="111" t="s">
        <v>324</v>
      </c>
      <c r="L101" s="63" t="s">
        <v>665</v>
      </c>
      <c r="M101" s="63" t="s">
        <v>103</v>
      </c>
      <c r="N101" s="63"/>
      <c r="O101" s="112">
        <v>46129</v>
      </c>
      <c r="P101" s="113">
        <v>305000000</v>
      </c>
      <c r="Q101" s="113">
        <v>18300000</v>
      </c>
      <c r="R101" s="208"/>
      <c r="S101" s="113"/>
      <c r="T101" s="114"/>
      <c r="U101" s="115"/>
      <c r="V101" s="116"/>
      <c r="W101" s="113"/>
      <c r="X101" s="113">
        <v>286700000</v>
      </c>
      <c r="Y101" s="113">
        <v>286700000</v>
      </c>
      <c r="Z101" s="113">
        <f t="shared" si="9"/>
        <v>0</v>
      </c>
      <c r="AA101" s="113">
        <v>286700000</v>
      </c>
      <c r="AB101" s="113">
        <v>292800000</v>
      </c>
      <c r="AC101" s="117"/>
      <c r="AD101" s="118">
        <v>0.04</v>
      </c>
      <c r="AE101" s="118"/>
      <c r="AF101" s="119">
        <v>0</v>
      </c>
      <c r="AG101" s="63"/>
      <c r="AH101" s="118">
        <v>0.04</v>
      </c>
      <c r="AI101" s="63"/>
      <c r="AJ101" s="123"/>
      <c r="AK101" s="115">
        <f t="shared" si="5"/>
        <v>17568000</v>
      </c>
      <c r="AL101" s="113"/>
      <c r="AM101" s="114">
        <v>0</v>
      </c>
      <c r="AN101" s="113">
        <v>0</v>
      </c>
      <c r="AO101" s="113">
        <v>0</v>
      </c>
      <c r="AP101" s="113">
        <f t="shared" si="2"/>
        <v>0</v>
      </c>
      <c r="AQ101" s="113">
        <f t="shared" si="8"/>
        <v>17568000</v>
      </c>
      <c r="AR101" s="63"/>
      <c r="AS101" s="63"/>
      <c r="AT101" s="63"/>
      <c r="AU101" s="63"/>
      <c r="AV101" s="140" t="s">
        <v>368</v>
      </c>
      <c r="AW101" s="121" t="s">
        <v>249</v>
      </c>
      <c r="AX101" s="63"/>
      <c r="AY101" s="63"/>
      <c r="AZ101" s="63"/>
      <c r="BA101" s="142"/>
      <c r="BB101" s="111"/>
      <c r="BC101" s="111"/>
      <c r="BD101" s="123"/>
      <c r="BE101" s="113"/>
    </row>
    <row r="102" spans="1:57">
      <c r="A102" s="63">
        <v>99</v>
      </c>
      <c r="B102" s="109">
        <v>46127</v>
      </c>
      <c r="C102" s="110">
        <v>4</v>
      </c>
      <c r="D102" s="63" t="s">
        <v>112</v>
      </c>
      <c r="E102" s="63" t="s">
        <v>132</v>
      </c>
      <c r="F102" s="63" t="s">
        <v>666</v>
      </c>
      <c r="G102" s="63" t="s">
        <v>667</v>
      </c>
      <c r="H102" s="64" t="s">
        <v>164</v>
      </c>
      <c r="I102" s="63" t="s">
        <v>668</v>
      </c>
      <c r="J102" s="63"/>
      <c r="K102" s="111" t="s">
        <v>669</v>
      </c>
      <c r="L102" s="63" t="s">
        <v>670</v>
      </c>
      <c r="M102" s="63" t="s">
        <v>103</v>
      </c>
      <c r="N102" s="63"/>
      <c r="O102" s="112">
        <v>46132</v>
      </c>
      <c r="P102" s="113">
        <v>939000000</v>
      </c>
      <c r="Q102" s="113">
        <v>56340000</v>
      </c>
      <c r="R102" s="208"/>
      <c r="S102" s="113"/>
      <c r="T102" s="114"/>
      <c r="U102" s="115"/>
      <c r="V102" s="116">
        <v>20000000</v>
      </c>
      <c r="W102" s="116">
        <v>15000000</v>
      </c>
      <c r="X102" s="113">
        <v>847660000</v>
      </c>
      <c r="Y102" s="113">
        <v>847660000</v>
      </c>
      <c r="Z102" s="113">
        <f t="shared" si="9"/>
        <v>0</v>
      </c>
      <c r="AA102" s="113">
        <v>862660000</v>
      </c>
      <c r="AB102" s="113">
        <v>896745000</v>
      </c>
      <c r="AC102" s="117"/>
      <c r="AD102" s="118">
        <v>4.4999999999999998E-2</v>
      </c>
      <c r="AE102" s="118"/>
      <c r="AF102" s="119">
        <v>0</v>
      </c>
      <c r="AG102" s="63"/>
      <c r="AH102" s="118">
        <v>4.4999999999999998E-2</v>
      </c>
      <c r="AI102" s="63"/>
      <c r="AJ102" s="123"/>
      <c r="AK102" s="115">
        <f t="shared" si="5"/>
        <v>72904700</v>
      </c>
      <c r="AL102" s="113"/>
      <c r="AM102" s="114">
        <v>0</v>
      </c>
      <c r="AN102" s="113">
        <v>0</v>
      </c>
      <c r="AO102" s="113">
        <v>0</v>
      </c>
      <c r="AP102" s="113">
        <f t="shared" si="2"/>
        <v>0</v>
      </c>
      <c r="AQ102" s="113">
        <f t="shared" si="8"/>
        <v>72904700</v>
      </c>
      <c r="AR102" s="63"/>
      <c r="AS102" s="63"/>
      <c r="AT102" s="63"/>
      <c r="AU102" s="63"/>
      <c r="AV102" s="144" t="s">
        <v>383</v>
      </c>
      <c r="AW102" s="121" t="s">
        <v>249</v>
      </c>
      <c r="AX102" s="63"/>
      <c r="AY102" s="63"/>
      <c r="AZ102" s="63"/>
      <c r="BA102" s="142"/>
      <c r="BB102" s="111"/>
      <c r="BC102" s="111"/>
      <c r="BD102" s="123"/>
      <c r="BE102" s="113"/>
    </row>
    <row r="103" spans="1:57">
      <c r="A103" s="63">
        <v>100</v>
      </c>
      <c r="B103" s="109">
        <v>46127</v>
      </c>
      <c r="C103" s="110">
        <v>4</v>
      </c>
      <c r="D103" s="63" t="s">
        <v>112</v>
      </c>
      <c r="E103" s="63" t="s">
        <v>671</v>
      </c>
      <c r="F103" s="63" t="s">
        <v>672</v>
      </c>
      <c r="G103" s="63" t="s">
        <v>673</v>
      </c>
      <c r="H103" s="63" t="s">
        <v>155</v>
      </c>
      <c r="I103" s="117" t="s">
        <v>105</v>
      </c>
      <c r="J103" s="63"/>
      <c r="K103" s="111" t="s">
        <v>106</v>
      </c>
      <c r="L103" s="63" t="s">
        <v>674</v>
      </c>
      <c r="M103" s="63" t="s">
        <v>103</v>
      </c>
      <c r="N103" s="63"/>
      <c r="O103" s="112">
        <v>46132</v>
      </c>
      <c r="P103" s="113">
        <v>315000000</v>
      </c>
      <c r="Q103" s="113">
        <v>18900000</v>
      </c>
      <c r="R103" s="208"/>
      <c r="S103" s="113"/>
      <c r="T103" s="114"/>
      <c r="U103" s="115"/>
      <c r="V103" s="116"/>
      <c r="W103" s="113"/>
      <c r="X103" s="113">
        <v>296100000</v>
      </c>
      <c r="Y103" s="113">
        <v>296100000</v>
      </c>
      <c r="Z103" s="113">
        <f t="shared" si="9"/>
        <v>0</v>
      </c>
      <c r="AA103" s="113">
        <v>296100000</v>
      </c>
      <c r="AB103" s="113">
        <v>302400000</v>
      </c>
      <c r="AC103" s="117"/>
      <c r="AD103" s="118">
        <v>0.04</v>
      </c>
      <c r="AE103" s="118"/>
      <c r="AF103" s="119">
        <v>0</v>
      </c>
      <c r="AG103" s="63"/>
      <c r="AH103" s="118">
        <v>0.04</v>
      </c>
      <c r="AI103" s="63"/>
      <c r="AJ103" s="123"/>
      <c r="AK103" s="115">
        <f t="shared" si="5"/>
        <v>18144000</v>
      </c>
      <c r="AL103" s="113"/>
      <c r="AM103" s="114">
        <v>0</v>
      </c>
      <c r="AN103" s="113">
        <v>0</v>
      </c>
      <c r="AO103" s="113">
        <v>5000000</v>
      </c>
      <c r="AP103" s="113">
        <f t="shared" si="2"/>
        <v>2500000</v>
      </c>
      <c r="AQ103" s="113">
        <f t="shared" si="8"/>
        <v>20644000</v>
      </c>
      <c r="AR103" s="63"/>
      <c r="AS103" s="63"/>
      <c r="AT103" s="63"/>
      <c r="AU103" s="63"/>
      <c r="AV103" s="140" t="s">
        <v>368</v>
      </c>
      <c r="AW103" s="121" t="s">
        <v>249</v>
      </c>
      <c r="AX103" s="63"/>
      <c r="AY103" s="63"/>
      <c r="AZ103" s="63"/>
      <c r="BA103" s="142"/>
      <c r="BB103" s="111"/>
      <c r="BC103" s="111"/>
      <c r="BD103" s="123"/>
      <c r="BE103" s="113"/>
    </row>
    <row r="104" spans="1:57">
      <c r="A104" s="63">
        <v>101</v>
      </c>
      <c r="B104" s="109">
        <v>46127</v>
      </c>
      <c r="C104" s="110">
        <v>1</v>
      </c>
      <c r="D104" s="64" t="s">
        <v>104</v>
      </c>
      <c r="E104" s="64" t="s">
        <v>325</v>
      </c>
      <c r="F104" s="63" t="s">
        <v>675</v>
      </c>
      <c r="G104" s="64" t="s">
        <v>676</v>
      </c>
      <c r="H104" s="64" t="s">
        <v>322</v>
      </c>
      <c r="I104" s="64" t="s">
        <v>677</v>
      </c>
      <c r="J104" s="64"/>
      <c r="K104" s="126" t="s">
        <v>323</v>
      </c>
      <c r="L104" s="64" t="s">
        <v>678</v>
      </c>
      <c r="M104" s="64" t="s">
        <v>107</v>
      </c>
      <c r="N104" s="64"/>
      <c r="O104" s="127">
        <v>0</v>
      </c>
      <c r="P104" s="128">
        <v>1699000000</v>
      </c>
      <c r="Q104" s="128">
        <v>169900000</v>
      </c>
      <c r="R104" s="209"/>
      <c r="S104" s="130">
        <v>5.0000000000000001E-3</v>
      </c>
      <c r="T104" s="129">
        <v>50970000</v>
      </c>
      <c r="U104" s="128"/>
      <c r="V104" s="130"/>
      <c r="W104" s="130">
        <v>25000000</v>
      </c>
      <c r="X104" s="113">
        <v>1445839350</v>
      </c>
      <c r="Y104" s="113">
        <v>1445839350</v>
      </c>
      <c r="Z104" s="113">
        <f t="shared" si="9"/>
        <v>0</v>
      </c>
      <c r="AA104" s="113">
        <v>1470839350</v>
      </c>
      <c r="AB104" s="113">
        <v>1597060000</v>
      </c>
      <c r="AC104" s="117"/>
      <c r="AD104" s="118">
        <v>0.06</v>
      </c>
      <c r="AE104" s="118"/>
      <c r="AF104" s="119">
        <v>0</v>
      </c>
      <c r="AG104" s="63"/>
      <c r="AH104" s="118">
        <v>0.06</v>
      </c>
      <c r="AI104" s="63"/>
      <c r="AJ104" s="123"/>
      <c r="AK104" s="115">
        <f t="shared" si="5"/>
        <v>214471011</v>
      </c>
      <c r="AL104" s="116">
        <f>7290650*40%</f>
        <v>2916260</v>
      </c>
      <c r="AM104" s="114">
        <v>0</v>
      </c>
      <c r="AN104" s="113">
        <v>0</v>
      </c>
      <c r="AO104" s="113">
        <v>20000000</v>
      </c>
      <c r="AP104" s="113">
        <f t="shared" si="2"/>
        <v>10000000</v>
      </c>
      <c r="AQ104" s="113">
        <f t="shared" si="8"/>
        <v>227387271</v>
      </c>
      <c r="AR104" s="63"/>
      <c r="AS104" s="64"/>
      <c r="AT104" s="64"/>
      <c r="AU104" s="64"/>
      <c r="AV104" s="134" t="s">
        <v>614</v>
      </c>
      <c r="AW104" s="135"/>
      <c r="AX104" s="64"/>
      <c r="AY104" s="64"/>
      <c r="AZ104" s="64"/>
      <c r="BA104" s="64"/>
      <c r="BB104" s="126">
        <f>14458393+943400</f>
        <v>15401793</v>
      </c>
      <c r="BC104" s="126"/>
      <c r="BD104" s="160">
        <v>0.02</v>
      </c>
      <c r="BE104" s="128">
        <f>BD104*AA104</f>
        <v>29416787</v>
      </c>
    </row>
    <row r="105" spans="1:57">
      <c r="A105" s="63">
        <v>102</v>
      </c>
      <c r="B105" s="109">
        <v>46127</v>
      </c>
      <c r="C105" s="110">
        <v>1</v>
      </c>
      <c r="D105" s="64" t="s">
        <v>104</v>
      </c>
      <c r="E105" s="64" t="s">
        <v>340</v>
      </c>
      <c r="F105" s="63" t="s">
        <v>679</v>
      </c>
      <c r="G105" s="64" t="s">
        <v>680</v>
      </c>
      <c r="H105" s="63" t="s">
        <v>52</v>
      </c>
      <c r="I105" s="64" t="s">
        <v>172</v>
      </c>
      <c r="J105" s="64"/>
      <c r="K105" s="126" t="s">
        <v>114</v>
      </c>
      <c r="L105" s="64" t="s">
        <v>681</v>
      </c>
      <c r="M105" s="64" t="s">
        <v>107</v>
      </c>
      <c r="N105" s="64"/>
      <c r="O105" s="127">
        <v>0</v>
      </c>
      <c r="P105" s="128">
        <v>749000000</v>
      </c>
      <c r="Q105" s="128">
        <v>44940000</v>
      </c>
      <c r="R105" s="209"/>
      <c r="S105" s="128"/>
      <c r="T105" s="129"/>
      <c r="U105" s="128"/>
      <c r="V105" s="130"/>
      <c r="W105" s="130">
        <v>7000000</v>
      </c>
      <c r="X105" s="113">
        <v>697060000</v>
      </c>
      <c r="Y105" s="113">
        <v>697060000</v>
      </c>
      <c r="Z105" s="113">
        <f t="shared" si="9"/>
        <v>0</v>
      </c>
      <c r="AA105" s="113">
        <v>704060000</v>
      </c>
      <c r="AB105" s="113">
        <v>719040000</v>
      </c>
      <c r="AC105" s="117"/>
      <c r="AD105" s="118">
        <v>0.04</v>
      </c>
      <c r="AE105" s="118"/>
      <c r="AF105" s="119">
        <v>0</v>
      </c>
      <c r="AG105" s="63"/>
      <c r="AH105" s="118">
        <v>0.04</v>
      </c>
      <c r="AI105" s="63"/>
      <c r="AJ105" s="123"/>
      <c r="AK105" s="115">
        <f t="shared" si="5"/>
        <v>43142400</v>
      </c>
      <c r="AL105" s="113"/>
      <c r="AM105" s="114">
        <v>0</v>
      </c>
      <c r="AN105" s="113">
        <v>0</v>
      </c>
      <c r="AO105" s="113">
        <v>10000000</v>
      </c>
      <c r="AP105" s="113">
        <f t="shared" si="2"/>
        <v>5000000</v>
      </c>
      <c r="AQ105" s="113">
        <f t="shared" si="8"/>
        <v>48142400</v>
      </c>
      <c r="AR105" s="63"/>
      <c r="AS105" s="64"/>
      <c r="AT105" s="64"/>
      <c r="AU105" s="64"/>
      <c r="AV105" s="134"/>
      <c r="AW105" s="135"/>
      <c r="AX105" s="64"/>
      <c r="AY105" s="64"/>
      <c r="AZ105" s="64"/>
      <c r="BA105" s="64"/>
      <c r="BB105" s="126"/>
      <c r="BC105" s="126"/>
      <c r="BD105" s="118">
        <v>0.01</v>
      </c>
      <c r="BE105" s="113">
        <f>BD105*AA105</f>
        <v>7040600</v>
      </c>
    </row>
    <row r="106" spans="1:57">
      <c r="A106" s="63">
        <v>103</v>
      </c>
      <c r="B106" s="109">
        <v>46127</v>
      </c>
      <c r="C106" s="110">
        <v>4</v>
      </c>
      <c r="D106" s="63" t="s">
        <v>122</v>
      </c>
      <c r="E106" s="63" t="s">
        <v>151</v>
      </c>
      <c r="F106" s="63" t="s">
        <v>682</v>
      </c>
      <c r="G106" s="63" t="s">
        <v>683</v>
      </c>
      <c r="H106" s="63" t="s">
        <v>52</v>
      </c>
      <c r="I106" s="63" t="s">
        <v>148</v>
      </c>
      <c r="J106" s="63"/>
      <c r="K106" s="111" t="s">
        <v>114</v>
      </c>
      <c r="L106" s="63" t="s">
        <v>684</v>
      </c>
      <c r="M106" s="63" t="s">
        <v>107</v>
      </c>
      <c r="N106" s="63"/>
      <c r="O106" s="112">
        <v>46132</v>
      </c>
      <c r="P106" s="113">
        <v>749000000</v>
      </c>
      <c r="Q106" s="113">
        <v>44940000</v>
      </c>
      <c r="R106" s="208"/>
      <c r="S106" s="113"/>
      <c r="T106" s="114">
        <v>22470000</v>
      </c>
      <c r="U106" s="115"/>
      <c r="V106" s="116"/>
      <c r="W106" s="113"/>
      <c r="X106" s="113">
        <v>681590000</v>
      </c>
      <c r="Y106" s="113">
        <v>681590000</v>
      </c>
      <c r="Z106" s="113">
        <f t="shared" si="9"/>
        <v>0</v>
      </c>
      <c r="AA106" s="113">
        <v>681590000</v>
      </c>
      <c r="AB106" s="113">
        <v>719040000</v>
      </c>
      <c r="AC106" s="117"/>
      <c r="AD106" s="118">
        <v>0.04</v>
      </c>
      <c r="AE106" s="118"/>
      <c r="AF106" s="119">
        <v>0</v>
      </c>
      <c r="AG106" s="63"/>
      <c r="AH106" s="118">
        <v>0.04</v>
      </c>
      <c r="AI106" s="63"/>
      <c r="AJ106" s="123"/>
      <c r="AK106" s="115">
        <f t="shared" si="5"/>
        <v>64713600</v>
      </c>
      <c r="AL106" s="113"/>
      <c r="AM106" s="114">
        <v>0</v>
      </c>
      <c r="AN106" s="113">
        <v>0</v>
      </c>
      <c r="AO106" s="113">
        <v>10000000</v>
      </c>
      <c r="AP106" s="113">
        <f t="shared" si="2"/>
        <v>5000000</v>
      </c>
      <c r="AQ106" s="113">
        <f t="shared" si="8"/>
        <v>69713600</v>
      </c>
      <c r="AR106" s="63"/>
      <c r="AS106" s="63"/>
      <c r="AT106" s="63"/>
      <c r="AU106" s="63"/>
      <c r="AV106" s="120" t="s">
        <v>685</v>
      </c>
      <c r="AW106" s="121"/>
      <c r="AX106" s="63"/>
      <c r="AY106" s="63"/>
      <c r="AZ106" s="63"/>
      <c r="BA106" s="63"/>
      <c r="BB106" s="122">
        <v>10223850</v>
      </c>
      <c r="BC106" s="111"/>
      <c r="BD106" s="118">
        <v>0.01</v>
      </c>
      <c r="BE106" s="113">
        <f>BD106*AA106</f>
        <v>6815900</v>
      </c>
    </row>
    <row r="107" spans="1:57">
      <c r="A107" s="63">
        <v>104</v>
      </c>
      <c r="B107" s="109">
        <v>46127</v>
      </c>
      <c r="C107" s="110">
        <v>4</v>
      </c>
      <c r="D107" s="63" t="s">
        <v>122</v>
      </c>
      <c r="E107" s="63" t="s">
        <v>151</v>
      </c>
      <c r="F107" s="63" t="s">
        <v>686</v>
      </c>
      <c r="G107" s="63" t="s">
        <v>687</v>
      </c>
      <c r="H107" s="63" t="s">
        <v>52</v>
      </c>
      <c r="I107" s="63" t="s">
        <v>148</v>
      </c>
      <c r="J107" s="63"/>
      <c r="K107" s="111" t="s">
        <v>114</v>
      </c>
      <c r="L107" s="63" t="s">
        <v>688</v>
      </c>
      <c r="M107" s="63" t="s">
        <v>107</v>
      </c>
      <c r="N107" s="63"/>
      <c r="O107" s="112">
        <v>46133</v>
      </c>
      <c r="P107" s="113">
        <v>749000000</v>
      </c>
      <c r="Q107" s="113">
        <v>44940000</v>
      </c>
      <c r="R107" s="208"/>
      <c r="S107" s="113"/>
      <c r="T107" s="114">
        <v>22470000</v>
      </c>
      <c r="U107" s="115"/>
      <c r="V107" s="116"/>
      <c r="W107" s="116">
        <v>12000000</v>
      </c>
      <c r="X107" s="113">
        <v>669590000</v>
      </c>
      <c r="Y107" s="113">
        <v>669590000</v>
      </c>
      <c r="Z107" s="113">
        <f t="shared" si="9"/>
        <v>0</v>
      </c>
      <c r="AA107" s="113">
        <v>681590000</v>
      </c>
      <c r="AB107" s="113">
        <v>719040000</v>
      </c>
      <c r="AC107" s="117"/>
      <c r="AD107" s="118">
        <v>0.04</v>
      </c>
      <c r="AE107" s="118"/>
      <c r="AF107" s="119">
        <v>0</v>
      </c>
      <c r="AG107" s="63"/>
      <c r="AH107" s="118">
        <v>0.04</v>
      </c>
      <c r="AI107" s="63"/>
      <c r="AJ107" s="123"/>
      <c r="AK107" s="115">
        <f t="shared" si="5"/>
        <v>64713600</v>
      </c>
      <c r="AL107" s="113"/>
      <c r="AM107" s="114">
        <v>0</v>
      </c>
      <c r="AN107" s="113">
        <v>0</v>
      </c>
      <c r="AO107" s="113">
        <v>10000000</v>
      </c>
      <c r="AP107" s="113">
        <f t="shared" si="2"/>
        <v>5000000</v>
      </c>
      <c r="AQ107" s="113">
        <f t="shared" si="8"/>
        <v>69713600</v>
      </c>
      <c r="AR107" s="63"/>
      <c r="AS107" s="63"/>
      <c r="AT107" s="63"/>
      <c r="AU107" s="63"/>
      <c r="AV107" s="120"/>
      <c r="AW107" s="121"/>
      <c r="AX107" s="63"/>
      <c r="AY107" s="63"/>
      <c r="AZ107" s="63"/>
      <c r="BA107" s="63"/>
      <c r="BB107" s="111"/>
      <c r="BC107" s="111"/>
      <c r="BD107" s="118">
        <v>0.01</v>
      </c>
      <c r="BE107" s="113">
        <f>BD107*AA107</f>
        <v>6815900</v>
      </c>
    </row>
    <row r="108" spans="1:57">
      <c r="A108" s="63">
        <v>105</v>
      </c>
      <c r="B108" s="109">
        <v>46127</v>
      </c>
      <c r="C108" s="110">
        <v>4</v>
      </c>
      <c r="D108" s="63" t="s">
        <v>122</v>
      </c>
      <c r="E108" s="63" t="s">
        <v>153</v>
      </c>
      <c r="F108" s="63" t="s">
        <v>689</v>
      </c>
      <c r="G108" s="63" t="s">
        <v>690</v>
      </c>
      <c r="H108" s="63" t="s">
        <v>155</v>
      </c>
      <c r="I108" s="63" t="s">
        <v>105</v>
      </c>
      <c r="J108" s="63"/>
      <c r="K108" s="111" t="s">
        <v>106</v>
      </c>
      <c r="L108" s="63" t="s">
        <v>691</v>
      </c>
      <c r="M108" s="63" t="s">
        <v>123</v>
      </c>
      <c r="N108" s="63"/>
      <c r="O108" s="112">
        <v>46133</v>
      </c>
      <c r="P108" s="113">
        <v>315000000</v>
      </c>
      <c r="Q108" s="113">
        <v>18900000</v>
      </c>
      <c r="R108" s="208"/>
      <c r="S108" s="113"/>
      <c r="T108" s="114">
        <v>9450000</v>
      </c>
      <c r="U108" s="115"/>
      <c r="V108" s="116"/>
      <c r="W108" s="116">
        <v>6000000</v>
      </c>
      <c r="X108" s="113">
        <v>280650000</v>
      </c>
      <c r="Y108" s="113">
        <v>280650000</v>
      </c>
      <c r="Z108" s="113">
        <f t="shared" si="9"/>
        <v>0</v>
      </c>
      <c r="AA108" s="113">
        <v>286650000</v>
      </c>
      <c r="AB108" s="113">
        <v>302400000</v>
      </c>
      <c r="AC108" s="117"/>
      <c r="AD108" s="118">
        <v>0.04</v>
      </c>
      <c r="AE108" s="118"/>
      <c r="AF108" s="119">
        <v>0</v>
      </c>
      <c r="AG108" s="63"/>
      <c r="AH108" s="118">
        <v>0.04</v>
      </c>
      <c r="AI108" s="63"/>
      <c r="AJ108" s="123"/>
      <c r="AK108" s="115">
        <f t="shared" si="5"/>
        <v>27216000</v>
      </c>
      <c r="AL108" s="113"/>
      <c r="AM108" s="114">
        <v>0</v>
      </c>
      <c r="AN108" s="113">
        <v>0</v>
      </c>
      <c r="AO108" s="113">
        <v>0</v>
      </c>
      <c r="AP108" s="113">
        <f t="shared" si="2"/>
        <v>0</v>
      </c>
      <c r="AQ108" s="113">
        <f t="shared" si="8"/>
        <v>27216000</v>
      </c>
      <c r="AR108" s="63"/>
      <c r="AS108" s="63"/>
      <c r="AT108" s="63"/>
      <c r="AU108" s="63"/>
      <c r="AV108" s="120"/>
      <c r="AW108" s="121"/>
      <c r="AX108" s="63"/>
      <c r="AY108" s="63"/>
      <c r="AZ108" s="63"/>
      <c r="BA108" s="63"/>
      <c r="BB108" s="111"/>
      <c r="BC108" s="111"/>
      <c r="BD108" s="123"/>
      <c r="BE108" s="113"/>
    </row>
    <row r="109" spans="1:57">
      <c r="A109" s="63">
        <v>106</v>
      </c>
      <c r="B109" s="109">
        <v>46127</v>
      </c>
      <c r="C109" s="110">
        <v>4</v>
      </c>
      <c r="D109" s="63" t="s">
        <v>122</v>
      </c>
      <c r="E109" s="63" t="s">
        <v>152</v>
      </c>
      <c r="F109" s="63" t="s">
        <v>692</v>
      </c>
      <c r="G109" s="63" t="s">
        <v>693</v>
      </c>
      <c r="H109" s="63" t="s">
        <v>155</v>
      </c>
      <c r="I109" s="63" t="s">
        <v>105</v>
      </c>
      <c r="J109" s="63"/>
      <c r="K109" s="111" t="s">
        <v>106</v>
      </c>
      <c r="L109" s="63" t="s">
        <v>694</v>
      </c>
      <c r="M109" s="63" t="s">
        <v>107</v>
      </c>
      <c r="N109" s="63"/>
      <c r="O109" s="112">
        <v>46133</v>
      </c>
      <c r="P109" s="113">
        <v>315000000</v>
      </c>
      <c r="Q109" s="113">
        <v>18900000</v>
      </c>
      <c r="R109" s="208"/>
      <c r="S109" s="113"/>
      <c r="T109" s="114">
        <v>9450000</v>
      </c>
      <c r="U109" s="115"/>
      <c r="V109" s="116"/>
      <c r="W109" s="113"/>
      <c r="X109" s="113">
        <v>286650000</v>
      </c>
      <c r="Y109" s="113">
        <v>286650000</v>
      </c>
      <c r="Z109" s="113">
        <f t="shared" si="9"/>
        <v>0</v>
      </c>
      <c r="AA109" s="113">
        <v>286650000</v>
      </c>
      <c r="AB109" s="113">
        <v>302400000</v>
      </c>
      <c r="AC109" s="117"/>
      <c r="AD109" s="118">
        <v>0.04</v>
      </c>
      <c r="AE109" s="118"/>
      <c r="AF109" s="119">
        <v>0</v>
      </c>
      <c r="AG109" s="63"/>
      <c r="AH109" s="118">
        <v>0.04</v>
      </c>
      <c r="AI109" s="63"/>
      <c r="AJ109" s="123"/>
      <c r="AK109" s="115">
        <f t="shared" si="5"/>
        <v>27216000</v>
      </c>
      <c r="AL109" s="113"/>
      <c r="AM109" s="114">
        <v>0</v>
      </c>
      <c r="AN109" s="113">
        <v>0</v>
      </c>
      <c r="AO109" s="113">
        <v>0</v>
      </c>
      <c r="AP109" s="113">
        <f t="shared" si="2"/>
        <v>0</v>
      </c>
      <c r="AQ109" s="113">
        <f t="shared" si="8"/>
        <v>27216000</v>
      </c>
      <c r="AR109" s="63"/>
      <c r="AS109" s="63"/>
      <c r="AT109" s="63"/>
      <c r="AU109" s="63"/>
      <c r="AV109" s="120"/>
      <c r="AW109" s="121"/>
      <c r="AX109" s="63"/>
      <c r="AY109" s="63"/>
      <c r="AZ109" s="63"/>
      <c r="BA109" s="63"/>
      <c r="BB109" s="111"/>
      <c r="BC109" s="111"/>
      <c r="BD109" s="118">
        <v>0.01</v>
      </c>
      <c r="BE109" s="113">
        <f>BD109*AA109</f>
        <v>2866500</v>
      </c>
    </row>
    <row r="110" spans="1:57">
      <c r="A110" s="63">
        <v>107</v>
      </c>
      <c r="B110" s="109">
        <v>46127</v>
      </c>
      <c r="C110" s="110">
        <v>4</v>
      </c>
      <c r="D110" s="63" t="s">
        <v>122</v>
      </c>
      <c r="E110" s="63" t="s">
        <v>181</v>
      </c>
      <c r="F110" s="63" t="s">
        <v>695</v>
      </c>
      <c r="G110" s="63" t="s">
        <v>696</v>
      </c>
      <c r="H110" s="63" t="s">
        <v>155</v>
      </c>
      <c r="I110" s="63" t="s">
        <v>105</v>
      </c>
      <c r="J110" s="63"/>
      <c r="K110" s="111" t="s">
        <v>106</v>
      </c>
      <c r="L110" s="63" t="s">
        <v>697</v>
      </c>
      <c r="M110" s="63" t="s">
        <v>123</v>
      </c>
      <c r="N110" s="63"/>
      <c r="O110" s="112">
        <v>46134</v>
      </c>
      <c r="P110" s="113">
        <v>315000000</v>
      </c>
      <c r="Q110" s="113">
        <v>18900000</v>
      </c>
      <c r="R110" s="208"/>
      <c r="S110" s="113"/>
      <c r="T110" s="114"/>
      <c r="U110" s="115"/>
      <c r="V110" s="116"/>
      <c r="W110" s="116">
        <v>5000000</v>
      </c>
      <c r="X110" s="113">
        <v>291100000</v>
      </c>
      <c r="Y110" s="113">
        <v>291100000</v>
      </c>
      <c r="Z110" s="113">
        <f t="shared" si="9"/>
        <v>0</v>
      </c>
      <c r="AA110" s="113">
        <v>296100000</v>
      </c>
      <c r="AB110" s="113">
        <v>302400000</v>
      </c>
      <c r="AC110" s="117"/>
      <c r="AD110" s="118">
        <v>0.04</v>
      </c>
      <c r="AE110" s="118"/>
      <c r="AF110" s="119">
        <v>0</v>
      </c>
      <c r="AG110" s="63"/>
      <c r="AH110" s="118">
        <v>0.04</v>
      </c>
      <c r="AI110" s="63"/>
      <c r="AJ110" s="123"/>
      <c r="AK110" s="115">
        <f t="shared" si="5"/>
        <v>18144000</v>
      </c>
      <c r="AL110" s="113"/>
      <c r="AM110" s="114">
        <v>0</v>
      </c>
      <c r="AN110" s="113">
        <v>0</v>
      </c>
      <c r="AO110" s="113">
        <v>0</v>
      </c>
      <c r="AP110" s="113">
        <f t="shared" si="2"/>
        <v>0</v>
      </c>
      <c r="AQ110" s="113">
        <f t="shared" si="8"/>
        <v>18144000</v>
      </c>
      <c r="AR110" s="63"/>
      <c r="AS110" s="63"/>
      <c r="AT110" s="63"/>
      <c r="AU110" s="63"/>
      <c r="AV110" s="120"/>
      <c r="AW110" s="121"/>
      <c r="AX110" s="63"/>
      <c r="AY110" s="63"/>
      <c r="AZ110" s="63"/>
      <c r="BA110" s="63"/>
      <c r="BB110" s="111"/>
      <c r="BC110" s="111"/>
      <c r="BD110" s="123"/>
      <c r="BE110" s="113"/>
    </row>
    <row r="111" spans="1:57">
      <c r="A111" s="63">
        <v>108</v>
      </c>
      <c r="B111" s="109">
        <v>46127</v>
      </c>
      <c r="C111" s="110">
        <v>4</v>
      </c>
      <c r="D111" s="63" t="s">
        <v>100</v>
      </c>
      <c r="E111" s="63" t="s">
        <v>279</v>
      </c>
      <c r="F111" s="63" t="s">
        <v>698</v>
      </c>
      <c r="G111" s="63" t="s">
        <v>699</v>
      </c>
      <c r="H111" s="63" t="s">
        <v>52</v>
      </c>
      <c r="I111" s="63" t="s">
        <v>52</v>
      </c>
      <c r="J111" s="63"/>
      <c r="K111" s="111" t="s">
        <v>114</v>
      </c>
      <c r="L111" s="63" t="s">
        <v>700</v>
      </c>
      <c r="M111" s="63" t="s">
        <v>120</v>
      </c>
      <c r="N111" s="63"/>
      <c r="O111" s="112">
        <v>46135</v>
      </c>
      <c r="P111" s="113">
        <v>749000000</v>
      </c>
      <c r="Q111" s="113">
        <v>44940000</v>
      </c>
      <c r="R111" s="208"/>
      <c r="S111" s="116">
        <v>0.01</v>
      </c>
      <c r="T111" s="114">
        <v>22470000</v>
      </c>
      <c r="U111" s="115"/>
      <c r="V111" s="116"/>
      <c r="W111" s="113"/>
      <c r="X111" s="113">
        <v>674774100</v>
      </c>
      <c r="Y111" s="113">
        <v>674774100</v>
      </c>
      <c r="Z111" s="113">
        <f t="shared" si="9"/>
        <v>0</v>
      </c>
      <c r="AA111" s="113">
        <v>674774100</v>
      </c>
      <c r="AB111" s="113">
        <v>719040000</v>
      </c>
      <c r="AC111" s="117"/>
      <c r="AD111" s="118">
        <v>0.04</v>
      </c>
      <c r="AE111" s="118"/>
      <c r="AF111" s="119">
        <v>0</v>
      </c>
      <c r="AG111" s="63"/>
      <c r="AH111" s="118">
        <v>0.04</v>
      </c>
      <c r="AI111" s="63"/>
      <c r="AJ111" s="123"/>
      <c r="AK111" s="115">
        <f t="shared" si="5"/>
        <v>71256864</v>
      </c>
      <c r="AL111" s="116">
        <f>6815900*40%</f>
        <v>2726360</v>
      </c>
      <c r="AM111" s="114">
        <v>0</v>
      </c>
      <c r="AN111" s="113">
        <v>0</v>
      </c>
      <c r="AO111" s="113">
        <v>0</v>
      </c>
      <c r="AP111" s="113">
        <f t="shared" si="2"/>
        <v>0</v>
      </c>
      <c r="AQ111" s="113">
        <f t="shared" si="8"/>
        <v>73983224</v>
      </c>
      <c r="AR111" s="63"/>
      <c r="AS111" s="63"/>
      <c r="AT111" s="63"/>
      <c r="AU111" s="63"/>
      <c r="AV111" s="120" t="s">
        <v>336</v>
      </c>
      <c r="AW111" s="121"/>
      <c r="AX111" s="63"/>
      <c r="AY111" s="63"/>
      <c r="AZ111" s="63"/>
      <c r="BA111" s="63"/>
      <c r="BB111" s="111"/>
      <c r="BC111" s="111"/>
      <c r="BD111" s="123"/>
      <c r="BE111" s="113"/>
    </row>
    <row r="112" spans="1:57">
      <c r="A112" s="63">
        <v>109</v>
      </c>
      <c r="B112" s="109">
        <v>46127</v>
      </c>
      <c r="C112" s="110">
        <v>4</v>
      </c>
      <c r="D112" s="63" t="s">
        <v>100</v>
      </c>
      <c r="E112" s="63" t="s">
        <v>279</v>
      </c>
      <c r="F112" s="63" t="s">
        <v>701</v>
      </c>
      <c r="G112" s="63" t="s">
        <v>702</v>
      </c>
      <c r="H112" s="63" t="s">
        <v>155</v>
      </c>
      <c r="I112" s="63" t="s">
        <v>162</v>
      </c>
      <c r="J112" s="63"/>
      <c r="K112" s="111" t="s">
        <v>102</v>
      </c>
      <c r="L112" s="63" t="s">
        <v>703</v>
      </c>
      <c r="M112" s="63" t="s">
        <v>103</v>
      </c>
      <c r="N112" s="63"/>
      <c r="O112" s="112">
        <v>46135</v>
      </c>
      <c r="P112" s="113">
        <v>310000000</v>
      </c>
      <c r="Q112" s="113">
        <v>18600000</v>
      </c>
      <c r="R112" s="208"/>
      <c r="S112" s="113"/>
      <c r="T112" s="114"/>
      <c r="U112" s="115"/>
      <c r="V112" s="116">
        <v>18000000</v>
      </c>
      <c r="W112" s="113"/>
      <c r="X112" s="113">
        <v>273400000</v>
      </c>
      <c r="Y112" s="113">
        <v>273400000</v>
      </c>
      <c r="Z112" s="113">
        <f t="shared" si="9"/>
        <v>0</v>
      </c>
      <c r="AA112" s="113">
        <v>273400000</v>
      </c>
      <c r="AB112" s="113">
        <v>297600000</v>
      </c>
      <c r="AC112" s="117"/>
      <c r="AD112" s="118">
        <v>0.04</v>
      </c>
      <c r="AE112" s="118"/>
      <c r="AF112" s="119">
        <v>0</v>
      </c>
      <c r="AG112" s="63"/>
      <c r="AH112" s="118">
        <v>0.04</v>
      </c>
      <c r="AI112" s="63"/>
      <c r="AJ112" s="123"/>
      <c r="AK112" s="115">
        <f t="shared" si="5"/>
        <v>35136000</v>
      </c>
      <c r="AL112" s="113"/>
      <c r="AM112" s="114">
        <v>0</v>
      </c>
      <c r="AN112" s="113">
        <v>0</v>
      </c>
      <c r="AO112" s="113">
        <v>0</v>
      </c>
      <c r="AP112" s="113">
        <f t="shared" si="2"/>
        <v>0</v>
      </c>
      <c r="AQ112" s="113">
        <f t="shared" si="8"/>
        <v>35136000</v>
      </c>
      <c r="AR112" s="63"/>
      <c r="AS112" s="63"/>
      <c r="AT112" s="63"/>
      <c r="AU112" s="63"/>
      <c r="AV112" s="120"/>
      <c r="AW112" s="121"/>
      <c r="AX112" s="63"/>
      <c r="AY112" s="63"/>
      <c r="AZ112" s="63"/>
      <c r="BA112" s="63"/>
      <c r="BB112" s="111"/>
      <c r="BC112" s="111"/>
      <c r="BD112" s="123"/>
      <c r="BE112" s="113"/>
    </row>
    <row r="113" spans="1:57">
      <c r="A113" s="63">
        <v>110</v>
      </c>
      <c r="B113" s="109">
        <v>46127</v>
      </c>
      <c r="C113" s="110">
        <v>4</v>
      </c>
      <c r="D113" s="63" t="s">
        <v>100</v>
      </c>
      <c r="E113" s="63" t="s">
        <v>156</v>
      </c>
      <c r="F113" s="63" t="s">
        <v>704</v>
      </c>
      <c r="G113" s="63" t="s">
        <v>705</v>
      </c>
      <c r="H113" s="63" t="s">
        <v>167</v>
      </c>
      <c r="I113" s="63" t="s">
        <v>105</v>
      </c>
      <c r="J113" s="63"/>
      <c r="K113" s="111" t="s">
        <v>119</v>
      </c>
      <c r="L113" s="63" t="s">
        <v>706</v>
      </c>
      <c r="M113" s="63" t="s">
        <v>120</v>
      </c>
      <c r="N113" s="63"/>
      <c r="O113" s="112">
        <v>46135</v>
      </c>
      <c r="P113" s="113">
        <v>529000000</v>
      </c>
      <c r="Q113" s="113">
        <v>31740000</v>
      </c>
      <c r="R113" s="208"/>
      <c r="S113" s="113"/>
      <c r="T113" s="114"/>
      <c r="U113" s="115"/>
      <c r="V113" s="116"/>
      <c r="W113" s="113"/>
      <c r="X113" s="113">
        <v>497260000</v>
      </c>
      <c r="Y113" s="113">
        <v>497260000</v>
      </c>
      <c r="Z113" s="113">
        <f t="shared" si="9"/>
        <v>0</v>
      </c>
      <c r="AA113" s="113">
        <v>497260000</v>
      </c>
      <c r="AB113" s="113">
        <v>507840000</v>
      </c>
      <c r="AC113" s="117"/>
      <c r="AD113" s="118">
        <v>0.04</v>
      </c>
      <c r="AE113" s="118"/>
      <c r="AF113" s="119">
        <v>0</v>
      </c>
      <c r="AG113" s="63"/>
      <c r="AH113" s="118">
        <v>0.04</v>
      </c>
      <c r="AI113" s="63"/>
      <c r="AJ113" s="123"/>
      <c r="AK113" s="115">
        <f t="shared" si="5"/>
        <v>30470400</v>
      </c>
      <c r="AL113" s="113"/>
      <c r="AM113" s="114">
        <v>0</v>
      </c>
      <c r="AN113" s="113">
        <v>0</v>
      </c>
      <c r="AO113" s="113">
        <v>0</v>
      </c>
      <c r="AP113" s="113">
        <f t="shared" si="2"/>
        <v>0</v>
      </c>
      <c r="AQ113" s="113">
        <f t="shared" ref="AQ113:AQ176" si="11">SUM(AK113:AN113,AP113)</f>
        <v>30470400</v>
      </c>
      <c r="AR113" s="63"/>
      <c r="AS113" s="63"/>
      <c r="AT113" s="63"/>
      <c r="AU113" s="63"/>
      <c r="AV113" s="120" t="s">
        <v>450</v>
      </c>
      <c r="AW113" s="121" t="s">
        <v>336</v>
      </c>
      <c r="AX113" s="63"/>
      <c r="AY113" s="63"/>
      <c r="AZ113" s="63"/>
      <c r="BA113" s="63"/>
      <c r="BB113" s="111"/>
      <c r="BC113" s="111"/>
      <c r="BD113" s="123"/>
      <c r="BE113" s="113"/>
    </row>
    <row r="114" spans="1:57">
      <c r="A114" s="63">
        <v>111</v>
      </c>
      <c r="B114" s="109">
        <v>46127</v>
      </c>
      <c r="C114" s="110">
        <v>4</v>
      </c>
      <c r="D114" s="63" t="s">
        <v>100</v>
      </c>
      <c r="E114" s="63" t="s">
        <v>180</v>
      </c>
      <c r="F114" s="63" t="s">
        <v>18</v>
      </c>
      <c r="G114" s="63" t="s">
        <v>707</v>
      </c>
      <c r="H114" s="63" t="s">
        <v>52</v>
      </c>
      <c r="I114" s="63" t="s">
        <v>52</v>
      </c>
      <c r="J114" s="63"/>
      <c r="K114" s="111" t="s">
        <v>114</v>
      </c>
      <c r="L114" s="63" t="s">
        <v>708</v>
      </c>
      <c r="M114" s="63" t="s">
        <v>120</v>
      </c>
      <c r="N114" s="63"/>
      <c r="O114" s="112">
        <v>46135</v>
      </c>
      <c r="P114" s="113">
        <v>749000000</v>
      </c>
      <c r="Q114" s="113">
        <v>44940000</v>
      </c>
      <c r="R114" s="208"/>
      <c r="S114" s="116">
        <v>5.0000000000000001E-3</v>
      </c>
      <c r="T114" s="114">
        <v>22470000</v>
      </c>
      <c r="U114" s="115"/>
      <c r="V114" s="116"/>
      <c r="W114" s="113"/>
      <c r="X114" s="113">
        <v>678232050</v>
      </c>
      <c r="Y114" s="113">
        <v>678232050</v>
      </c>
      <c r="Z114" s="113">
        <f t="shared" ref="Z114:Z177" si="12">X114-Y114</f>
        <v>0</v>
      </c>
      <c r="AA114" s="113">
        <v>678232050</v>
      </c>
      <c r="AB114" s="113">
        <v>719040000</v>
      </c>
      <c r="AC114" s="117"/>
      <c r="AD114" s="118">
        <v>0.04</v>
      </c>
      <c r="AE114" s="118"/>
      <c r="AF114" s="119">
        <v>0</v>
      </c>
      <c r="AG114" s="63"/>
      <c r="AH114" s="118">
        <v>0.04</v>
      </c>
      <c r="AI114" s="63"/>
      <c r="AJ114" s="123"/>
      <c r="AK114" s="115">
        <f t="shared" si="5"/>
        <v>67937232</v>
      </c>
      <c r="AL114" s="116">
        <f>3445300*40%</f>
        <v>1378120</v>
      </c>
      <c r="AM114" s="114">
        <v>0</v>
      </c>
      <c r="AN114" s="113">
        <v>0</v>
      </c>
      <c r="AO114" s="113">
        <v>10000000</v>
      </c>
      <c r="AP114" s="113">
        <f t="shared" si="2"/>
        <v>5000000</v>
      </c>
      <c r="AQ114" s="113">
        <f t="shared" si="11"/>
        <v>74315352</v>
      </c>
      <c r="AR114" s="63"/>
      <c r="AS114" s="63"/>
      <c r="AT114" s="63"/>
      <c r="AU114" s="63"/>
      <c r="AV114" s="120" t="s">
        <v>450</v>
      </c>
      <c r="AW114" s="121"/>
      <c r="AX114" s="63"/>
      <c r="AY114" s="63"/>
      <c r="AZ114" s="63"/>
      <c r="BA114" s="63"/>
      <c r="BB114" s="111"/>
      <c r="BC114" s="111"/>
      <c r="BD114" s="123"/>
      <c r="BE114" s="113"/>
    </row>
    <row r="115" spans="1:57">
      <c r="A115" s="63">
        <v>112</v>
      </c>
      <c r="B115" s="109">
        <v>46127</v>
      </c>
      <c r="C115" s="110">
        <v>1</v>
      </c>
      <c r="D115" s="64" t="s">
        <v>104</v>
      </c>
      <c r="E115" s="64" t="s">
        <v>709</v>
      </c>
      <c r="F115" s="63" t="s">
        <v>710</v>
      </c>
      <c r="G115" s="64" t="s">
        <v>711</v>
      </c>
      <c r="H115" s="63" t="s">
        <v>52</v>
      </c>
      <c r="I115" s="64" t="s">
        <v>52</v>
      </c>
      <c r="J115" s="64"/>
      <c r="K115" s="126" t="s">
        <v>114</v>
      </c>
      <c r="L115" s="64" t="s">
        <v>712</v>
      </c>
      <c r="M115" s="64" t="s">
        <v>120</v>
      </c>
      <c r="N115" s="64"/>
      <c r="O115" s="127">
        <v>0</v>
      </c>
      <c r="P115" s="128">
        <v>749000000</v>
      </c>
      <c r="Q115" s="128">
        <v>44940000</v>
      </c>
      <c r="R115" s="209"/>
      <c r="S115" s="128"/>
      <c r="T115" s="129"/>
      <c r="U115" s="128"/>
      <c r="V115" s="130"/>
      <c r="W115" s="130">
        <v>8000000</v>
      </c>
      <c r="X115" s="113">
        <v>696060000</v>
      </c>
      <c r="Y115" s="113">
        <v>696060000</v>
      </c>
      <c r="Z115" s="113">
        <f t="shared" si="12"/>
        <v>0</v>
      </c>
      <c r="AA115" s="113">
        <v>704060000</v>
      </c>
      <c r="AB115" s="113">
        <v>719040000</v>
      </c>
      <c r="AC115" s="117"/>
      <c r="AD115" s="118">
        <v>0.04</v>
      </c>
      <c r="AE115" s="118"/>
      <c r="AF115" s="119">
        <v>0</v>
      </c>
      <c r="AG115" s="63"/>
      <c r="AH115" s="118">
        <v>0.04</v>
      </c>
      <c r="AI115" s="63"/>
      <c r="AJ115" s="123"/>
      <c r="AK115" s="115">
        <f t="shared" si="5"/>
        <v>43142400</v>
      </c>
      <c r="AL115" s="113"/>
      <c r="AM115" s="114">
        <v>0</v>
      </c>
      <c r="AN115" s="113">
        <v>0</v>
      </c>
      <c r="AO115" s="113">
        <v>0</v>
      </c>
      <c r="AP115" s="113">
        <f t="shared" si="2"/>
        <v>0</v>
      </c>
      <c r="AQ115" s="113">
        <f t="shared" si="11"/>
        <v>43142400</v>
      </c>
      <c r="AR115" s="63"/>
      <c r="AS115" s="64"/>
      <c r="AT115" s="64"/>
      <c r="AU115" s="64"/>
      <c r="AV115" s="120" t="s">
        <v>713</v>
      </c>
      <c r="AW115" s="135"/>
      <c r="AX115" s="64"/>
      <c r="AY115" s="64"/>
      <c r="AZ115" s="64"/>
      <c r="BA115" s="64"/>
      <c r="BB115" s="126">
        <f>11833020+1218000</f>
        <v>13051020</v>
      </c>
      <c r="BC115" s="126"/>
      <c r="BD115" s="160"/>
      <c r="BE115" s="128"/>
    </row>
    <row r="116" spans="1:57">
      <c r="A116" s="63">
        <v>113</v>
      </c>
      <c r="B116" s="109">
        <v>46127</v>
      </c>
      <c r="C116" s="110">
        <v>1</v>
      </c>
      <c r="D116" s="64" t="s">
        <v>104</v>
      </c>
      <c r="E116" s="64" t="s">
        <v>171</v>
      </c>
      <c r="F116" s="63" t="s">
        <v>714</v>
      </c>
      <c r="G116" s="64" t="s">
        <v>715</v>
      </c>
      <c r="H116" s="63" t="s">
        <v>167</v>
      </c>
      <c r="I116" s="64" t="s">
        <v>105</v>
      </c>
      <c r="J116" s="64"/>
      <c r="K116" s="126" t="s">
        <v>119</v>
      </c>
      <c r="L116" s="64" t="s">
        <v>716</v>
      </c>
      <c r="M116" s="64" t="s">
        <v>107</v>
      </c>
      <c r="N116" s="64"/>
      <c r="O116" s="127">
        <v>0</v>
      </c>
      <c r="P116" s="128">
        <v>529000000</v>
      </c>
      <c r="Q116" s="128">
        <v>31740000</v>
      </c>
      <c r="R116" s="209"/>
      <c r="S116" s="130">
        <v>5.0000000000000001E-3</v>
      </c>
      <c r="T116" s="129">
        <v>15870000</v>
      </c>
      <c r="U116" s="130"/>
      <c r="V116" s="130"/>
      <c r="W116" s="130">
        <v>10000000</v>
      </c>
      <c r="X116" s="113">
        <v>468983050</v>
      </c>
      <c r="Y116" s="113">
        <v>468983050</v>
      </c>
      <c r="Z116" s="113">
        <f t="shared" si="12"/>
        <v>0</v>
      </c>
      <c r="AA116" s="113">
        <v>478983050</v>
      </c>
      <c r="AB116" s="113">
        <v>507840000</v>
      </c>
      <c r="AC116" s="117"/>
      <c r="AD116" s="118">
        <v>0.04</v>
      </c>
      <c r="AE116" s="118"/>
      <c r="AF116" s="119">
        <v>0</v>
      </c>
      <c r="AG116" s="63"/>
      <c r="AH116" s="118">
        <v>0.04</v>
      </c>
      <c r="AI116" s="63"/>
      <c r="AJ116" s="123"/>
      <c r="AK116" s="115">
        <f t="shared" si="5"/>
        <v>48016272</v>
      </c>
      <c r="AL116" s="116">
        <f>2406950*40%</f>
        <v>962780</v>
      </c>
      <c r="AM116" s="114">
        <v>0</v>
      </c>
      <c r="AN116" s="113">
        <v>0</v>
      </c>
      <c r="AO116" s="113">
        <v>0</v>
      </c>
      <c r="AP116" s="113">
        <f t="shared" si="2"/>
        <v>0</v>
      </c>
      <c r="AQ116" s="113">
        <f t="shared" si="11"/>
        <v>48979052</v>
      </c>
      <c r="AR116" s="63"/>
      <c r="AS116" s="64"/>
      <c r="AT116" s="64"/>
      <c r="AU116" s="64"/>
      <c r="AV116" s="120" t="s">
        <v>717</v>
      </c>
      <c r="AW116" s="135"/>
      <c r="AX116" s="64"/>
      <c r="AY116" s="64"/>
      <c r="AZ116" s="64"/>
      <c r="BA116" s="64"/>
      <c r="BB116" s="106">
        <v>5065017</v>
      </c>
      <c r="BC116" s="126"/>
      <c r="BD116" s="118">
        <v>0.01</v>
      </c>
      <c r="BE116" s="113">
        <f>BD116*AA116</f>
        <v>4789830.5</v>
      </c>
    </row>
    <row r="117" spans="1:57">
      <c r="A117" s="63">
        <v>114</v>
      </c>
      <c r="B117" s="109">
        <v>46127</v>
      </c>
      <c r="C117" s="110">
        <v>1</v>
      </c>
      <c r="D117" s="64" t="s">
        <v>104</v>
      </c>
      <c r="E117" s="64" t="s">
        <v>21</v>
      </c>
      <c r="F117" s="63" t="s">
        <v>718</v>
      </c>
      <c r="G117" s="64" t="s">
        <v>719</v>
      </c>
      <c r="H117" s="63" t="s">
        <v>155</v>
      </c>
      <c r="I117" s="64" t="s">
        <v>105</v>
      </c>
      <c r="J117" s="64"/>
      <c r="K117" s="126" t="s">
        <v>106</v>
      </c>
      <c r="L117" s="64" t="s">
        <v>720</v>
      </c>
      <c r="M117" s="64" t="s">
        <v>107</v>
      </c>
      <c r="N117" s="64"/>
      <c r="O117" s="127">
        <v>0</v>
      </c>
      <c r="P117" s="128">
        <v>315000000</v>
      </c>
      <c r="Q117" s="128">
        <v>18900000</v>
      </c>
      <c r="R117" s="208"/>
      <c r="S117" s="113"/>
      <c r="T117" s="114"/>
      <c r="U117" s="115"/>
      <c r="V117" s="116"/>
      <c r="W117" s="113"/>
      <c r="X117" s="113">
        <v>296100000</v>
      </c>
      <c r="Y117" s="113">
        <v>296100000</v>
      </c>
      <c r="Z117" s="113">
        <f t="shared" si="12"/>
        <v>0</v>
      </c>
      <c r="AA117" s="113">
        <v>296100000</v>
      </c>
      <c r="AB117" s="113">
        <v>302400000</v>
      </c>
      <c r="AC117" s="117"/>
      <c r="AD117" s="118">
        <v>0.04</v>
      </c>
      <c r="AE117" s="118"/>
      <c r="AF117" s="119">
        <v>0</v>
      </c>
      <c r="AG117" s="63"/>
      <c r="AH117" s="118">
        <v>0.04</v>
      </c>
      <c r="AI117" s="63"/>
      <c r="AJ117" s="123"/>
      <c r="AK117" s="115">
        <f t="shared" si="5"/>
        <v>18144000</v>
      </c>
      <c r="AL117" s="113"/>
      <c r="AM117" s="114">
        <v>0</v>
      </c>
      <c r="AN117" s="113">
        <v>0</v>
      </c>
      <c r="AO117" s="113">
        <v>5000000</v>
      </c>
      <c r="AP117" s="113">
        <f t="shared" si="2"/>
        <v>2500000</v>
      </c>
      <c r="AQ117" s="113">
        <f t="shared" si="11"/>
        <v>20644000</v>
      </c>
      <c r="AR117" s="63"/>
      <c r="AS117" s="63"/>
      <c r="AT117" s="63"/>
      <c r="AU117" s="63"/>
      <c r="AV117" s="120"/>
      <c r="AW117" s="121"/>
      <c r="AX117" s="63"/>
      <c r="AY117" s="63"/>
      <c r="AZ117" s="63"/>
      <c r="BA117" s="63"/>
      <c r="BB117" s="111"/>
      <c r="BC117" s="111"/>
      <c r="BD117" s="118">
        <v>0.01</v>
      </c>
      <c r="BE117" s="113">
        <f>BD117*AA117</f>
        <v>2961000</v>
      </c>
    </row>
    <row r="118" spans="1:57">
      <c r="A118" s="63">
        <v>115</v>
      </c>
      <c r="B118" s="109">
        <v>46127</v>
      </c>
      <c r="C118" s="110">
        <v>1</v>
      </c>
      <c r="D118" s="64" t="s">
        <v>104</v>
      </c>
      <c r="E118" s="64" t="s">
        <v>325</v>
      </c>
      <c r="F118" s="63" t="s">
        <v>721</v>
      </c>
      <c r="G118" s="64" t="s">
        <v>722</v>
      </c>
      <c r="H118" s="64" t="s">
        <v>164</v>
      </c>
      <c r="I118" s="64" t="s">
        <v>723</v>
      </c>
      <c r="J118" s="64"/>
      <c r="K118" s="126" t="s">
        <v>724</v>
      </c>
      <c r="L118" s="64" t="s">
        <v>725</v>
      </c>
      <c r="M118" s="64" t="s">
        <v>107</v>
      </c>
      <c r="N118" s="64"/>
      <c r="O118" s="127">
        <v>0</v>
      </c>
      <c r="P118" s="128">
        <v>939000000</v>
      </c>
      <c r="Q118" s="128">
        <v>56340000</v>
      </c>
      <c r="R118" s="208"/>
      <c r="S118" s="113"/>
      <c r="T118" s="114"/>
      <c r="U118" s="138">
        <v>0.03</v>
      </c>
      <c r="V118" s="116"/>
      <c r="W118" s="116">
        <v>15000000</v>
      </c>
      <c r="X118" s="113">
        <v>839490000</v>
      </c>
      <c r="Y118" s="113">
        <v>839490000</v>
      </c>
      <c r="Z118" s="113">
        <f t="shared" si="12"/>
        <v>0</v>
      </c>
      <c r="AA118" s="113">
        <v>854490000</v>
      </c>
      <c r="AB118" s="113">
        <v>896745000</v>
      </c>
      <c r="AC118" s="117"/>
      <c r="AD118" s="118">
        <v>4.4999999999999998E-2</v>
      </c>
      <c r="AE118" s="118"/>
      <c r="AF118" s="119">
        <v>0</v>
      </c>
      <c r="AG118" s="63"/>
      <c r="AH118" s="118">
        <v>4.4999999999999998E-2</v>
      </c>
      <c r="AI118" s="123">
        <v>1.4999999999999999E-2</v>
      </c>
      <c r="AJ118" s="123"/>
      <c r="AK118" s="115">
        <f t="shared" si="5"/>
        <v>66622050</v>
      </c>
      <c r="AL118" s="113"/>
      <c r="AM118" s="114">
        <v>0</v>
      </c>
      <c r="AN118" s="113">
        <v>0</v>
      </c>
      <c r="AO118" s="113">
        <v>15000000</v>
      </c>
      <c r="AP118" s="113">
        <f t="shared" si="2"/>
        <v>7500000</v>
      </c>
      <c r="AQ118" s="113">
        <f t="shared" si="11"/>
        <v>74122050</v>
      </c>
      <c r="AR118" s="63"/>
      <c r="AS118" s="63"/>
      <c r="AT118" s="63"/>
      <c r="AU118" s="63"/>
      <c r="AV118" s="120" t="s">
        <v>726</v>
      </c>
      <c r="AW118" s="121"/>
      <c r="AX118" s="63"/>
      <c r="AY118" s="63"/>
      <c r="AZ118" s="63"/>
      <c r="BA118" s="63"/>
      <c r="BB118" s="122">
        <v>8814000</v>
      </c>
      <c r="BC118" s="111"/>
      <c r="BD118" s="118">
        <v>0.01</v>
      </c>
      <c r="BE118" s="113">
        <f>BD118*AA118</f>
        <v>8544900</v>
      </c>
    </row>
    <row r="119" spans="1:57">
      <c r="A119" s="63">
        <v>116</v>
      </c>
      <c r="B119" s="109">
        <v>46127</v>
      </c>
      <c r="C119" s="110">
        <v>1</v>
      </c>
      <c r="D119" s="64" t="s">
        <v>104</v>
      </c>
      <c r="E119" s="64" t="s">
        <v>131</v>
      </c>
      <c r="F119" s="63" t="s">
        <v>727</v>
      </c>
      <c r="G119" s="64" t="s">
        <v>728</v>
      </c>
      <c r="H119" s="63" t="s">
        <v>167</v>
      </c>
      <c r="I119" s="64" t="s">
        <v>105</v>
      </c>
      <c r="J119" s="64"/>
      <c r="K119" s="126" t="s">
        <v>119</v>
      </c>
      <c r="L119" s="64" t="s">
        <v>729</v>
      </c>
      <c r="M119" s="64" t="s">
        <v>107</v>
      </c>
      <c r="N119" s="64"/>
      <c r="O119" s="127">
        <v>0</v>
      </c>
      <c r="P119" s="128">
        <v>529000000</v>
      </c>
      <c r="Q119" s="128">
        <v>31740000</v>
      </c>
      <c r="R119" s="208"/>
      <c r="S119" s="113"/>
      <c r="T119" s="114"/>
      <c r="U119" s="115"/>
      <c r="V119" s="116"/>
      <c r="W119" s="116">
        <v>5000000</v>
      </c>
      <c r="X119" s="113">
        <v>492260000</v>
      </c>
      <c r="Y119" s="113">
        <v>492260000</v>
      </c>
      <c r="Z119" s="113">
        <f t="shared" si="12"/>
        <v>0</v>
      </c>
      <c r="AA119" s="113">
        <v>497260000</v>
      </c>
      <c r="AB119" s="113">
        <v>507840000</v>
      </c>
      <c r="AC119" s="117"/>
      <c r="AD119" s="118">
        <v>0.04</v>
      </c>
      <c r="AE119" s="118"/>
      <c r="AF119" s="119">
        <v>0</v>
      </c>
      <c r="AG119" s="63"/>
      <c r="AH119" s="118">
        <v>0.04</v>
      </c>
      <c r="AI119" s="63"/>
      <c r="AJ119" s="123"/>
      <c r="AK119" s="115">
        <f t="shared" si="5"/>
        <v>30470400</v>
      </c>
      <c r="AL119" s="113"/>
      <c r="AM119" s="114">
        <v>0</v>
      </c>
      <c r="AN119" s="113">
        <v>0</v>
      </c>
      <c r="AO119" s="113">
        <v>0</v>
      </c>
      <c r="AP119" s="113">
        <f t="shared" si="2"/>
        <v>0</v>
      </c>
      <c r="AQ119" s="113">
        <f t="shared" si="11"/>
        <v>30470400</v>
      </c>
      <c r="AR119" s="63"/>
      <c r="AS119" s="63"/>
      <c r="AT119" s="63"/>
      <c r="AU119" s="63"/>
      <c r="AV119" s="120" t="s">
        <v>730</v>
      </c>
      <c r="AW119" s="121"/>
      <c r="AX119" s="63"/>
      <c r="AY119" s="63"/>
      <c r="AZ119" s="63"/>
      <c r="BA119" s="63"/>
      <c r="BB119" s="111">
        <f>9000000+846600</f>
        <v>9846600</v>
      </c>
      <c r="BC119" s="111"/>
      <c r="BD119" s="118">
        <v>0.01</v>
      </c>
      <c r="BE119" s="113">
        <f>BD119*AA119</f>
        <v>4972600</v>
      </c>
    </row>
    <row r="120" spans="1:57">
      <c r="A120" s="63">
        <v>117</v>
      </c>
      <c r="B120" s="109">
        <v>46127</v>
      </c>
      <c r="C120" s="110">
        <v>1</v>
      </c>
      <c r="D120" s="64" t="s">
        <v>104</v>
      </c>
      <c r="E120" s="64" t="s">
        <v>466</v>
      </c>
      <c r="F120" s="63" t="s">
        <v>731</v>
      </c>
      <c r="G120" s="64" t="s">
        <v>732</v>
      </c>
      <c r="H120" s="63" t="s">
        <v>155</v>
      </c>
      <c r="I120" s="64" t="s">
        <v>105</v>
      </c>
      <c r="J120" s="64"/>
      <c r="K120" s="126" t="s">
        <v>106</v>
      </c>
      <c r="L120" s="64" t="s">
        <v>733</v>
      </c>
      <c r="M120" s="64" t="s">
        <v>107</v>
      </c>
      <c r="N120" s="64"/>
      <c r="O120" s="127">
        <v>0</v>
      </c>
      <c r="P120" s="128">
        <v>315000000</v>
      </c>
      <c r="Q120" s="128">
        <v>18900000</v>
      </c>
      <c r="R120" s="208"/>
      <c r="S120" s="113"/>
      <c r="T120" s="114">
        <v>9450000</v>
      </c>
      <c r="U120" s="115"/>
      <c r="V120" s="116"/>
      <c r="W120" s="116">
        <v>2000000</v>
      </c>
      <c r="X120" s="113">
        <v>284650000</v>
      </c>
      <c r="Y120" s="113">
        <v>284650000</v>
      </c>
      <c r="Z120" s="113">
        <f t="shared" si="12"/>
        <v>0</v>
      </c>
      <c r="AA120" s="113">
        <v>286650000</v>
      </c>
      <c r="AB120" s="113">
        <v>302400000</v>
      </c>
      <c r="AC120" s="117"/>
      <c r="AD120" s="118">
        <v>0.04</v>
      </c>
      <c r="AE120" s="118"/>
      <c r="AF120" s="119">
        <v>0</v>
      </c>
      <c r="AG120" s="63"/>
      <c r="AH120" s="118">
        <v>0.04</v>
      </c>
      <c r="AI120" s="63"/>
      <c r="AJ120" s="123"/>
      <c r="AK120" s="115">
        <f t="shared" si="5"/>
        <v>27216000</v>
      </c>
      <c r="AL120" s="113"/>
      <c r="AM120" s="114">
        <v>0</v>
      </c>
      <c r="AN120" s="113">
        <v>0</v>
      </c>
      <c r="AO120" s="113">
        <v>0</v>
      </c>
      <c r="AP120" s="113">
        <f t="shared" si="2"/>
        <v>0</v>
      </c>
      <c r="AQ120" s="113">
        <f t="shared" si="11"/>
        <v>27216000</v>
      </c>
      <c r="AR120" s="63"/>
      <c r="AS120" s="63"/>
      <c r="AT120" s="63"/>
      <c r="AU120" s="63"/>
      <c r="AV120" s="120"/>
      <c r="AW120" s="121"/>
      <c r="AX120" s="63"/>
      <c r="AY120" s="63"/>
      <c r="AZ120" s="63"/>
      <c r="BA120" s="63"/>
      <c r="BB120" s="111"/>
      <c r="BC120" s="111"/>
      <c r="BD120" s="118">
        <v>0.01</v>
      </c>
      <c r="BE120" s="113">
        <f>BD120*AA120</f>
        <v>2866500</v>
      </c>
    </row>
    <row r="121" spans="1:57">
      <c r="A121" s="63">
        <v>118</v>
      </c>
      <c r="B121" s="109">
        <v>46127</v>
      </c>
      <c r="C121" s="110">
        <v>4</v>
      </c>
      <c r="D121" s="64" t="s">
        <v>100</v>
      </c>
      <c r="E121" s="64" t="s">
        <v>158</v>
      </c>
      <c r="F121" s="63" t="s">
        <v>734</v>
      </c>
      <c r="G121" s="64" t="s">
        <v>735</v>
      </c>
      <c r="H121" s="63" t="s">
        <v>155</v>
      </c>
      <c r="I121" s="64" t="s">
        <v>105</v>
      </c>
      <c r="J121" s="64"/>
      <c r="K121" s="126" t="s">
        <v>106</v>
      </c>
      <c r="L121" s="64" t="s">
        <v>736</v>
      </c>
      <c r="M121" s="64" t="s">
        <v>120</v>
      </c>
      <c r="N121" s="64"/>
      <c r="O121" s="127">
        <v>46140</v>
      </c>
      <c r="P121" s="128">
        <v>315000000</v>
      </c>
      <c r="Q121" s="128">
        <v>18900000</v>
      </c>
      <c r="R121" s="208"/>
      <c r="S121" s="113"/>
      <c r="T121" s="114"/>
      <c r="U121" s="115"/>
      <c r="V121" s="116"/>
      <c r="W121" s="113"/>
      <c r="X121" s="113">
        <v>296100000</v>
      </c>
      <c r="Y121" s="113">
        <v>296100000</v>
      </c>
      <c r="Z121" s="113">
        <f t="shared" si="12"/>
        <v>0</v>
      </c>
      <c r="AA121" s="113">
        <v>296100000</v>
      </c>
      <c r="AB121" s="113">
        <v>302400000</v>
      </c>
      <c r="AC121" s="117"/>
      <c r="AD121" s="118">
        <v>0.04</v>
      </c>
      <c r="AE121" s="118"/>
      <c r="AF121" s="119">
        <v>0</v>
      </c>
      <c r="AG121" s="63"/>
      <c r="AH121" s="118">
        <v>0.04</v>
      </c>
      <c r="AI121" s="63"/>
      <c r="AJ121" s="123"/>
      <c r="AK121" s="115">
        <f t="shared" si="5"/>
        <v>18144000</v>
      </c>
      <c r="AL121" s="113"/>
      <c r="AM121" s="114">
        <v>0</v>
      </c>
      <c r="AN121" s="113">
        <v>0</v>
      </c>
      <c r="AO121" s="113">
        <v>0</v>
      </c>
      <c r="AP121" s="113">
        <f t="shared" si="2"/>
        <v>0</v>
      </c>
      <c r="AQ121" s="113">
        <f t="shared" si="11"/>
        <v>18144000</v>
      </c>
      <c r="AR121" s="63"/>
      <c r="AS121" s="63"/>
      <c r="AT121" s="63"/>
      <c r="AU121" s="63"/>
      <c r="AV121" s="120" t="s">
        <v>336</v>
      </c>
      <c r="AW121" s="121"/>
      <c r="AX121" s="63"/>
      <c r="AY121" s="63"/>
      <c r="AZ121" s="63"/>
      <c r="BA121" s="63"/>
      <c r="BB121" s="111"/>
      <c r="BC121" s="111"/>
      <c r="BD121" s="123"/>
      <c r="BE121" s="113"/>
    </row>
    <row r="122" spans="1:57">
      <c r="A122" s="63">
        <v>119</v>
      </c>
      <c r="B122" s="109">
        <v>46127</v>
      </c>
      <c r="C122" s="110">
        <v>4</v>
      </c>
      <c r="D122" s="64" t="s">
        <v>100</v>
      </c>
      <c r="E122" s="64" t="s">
        <v>118</v>
      </c>
      <c r="F122" s="161"/>
      <c r="G122" s="64" t="s">
        <v>737</v>
      </c>
      <c r="H122" s="63" t="s">
        <v>52</v>
      </c>
      <c r="I122" s="64" t="s">
        <v>52</v>
      </c>
      <c r="J122" s="64"/>
      <c r="K122" s="126" t="s">
        <v>114</v>
      </c>
      <c r="L122" s="64" t="s">
        <v>738</v>
      </c>
      <c r="M122" s="64" t="s">
        <v>120</v>
      </c>
      <c r="N122" s="64"/>
      <c r="O122" s="127">
        <v>46141</v>
      </c>
      <c r="P122" s="128">
        <v>749000000</v>
      </c>
      <c r="Q122" s="128">
        <v>44940000</v>
      </c>
      <c r="R122" s="208"/>
      <c r="S122" s="113"/>
      <c r="T122" s="114"/>
      <c r="U122" s="115"/>
      <c r="V122" s="116"/>
      <c r="W122" s="113"/>
      <c r="X122" s="113">
        <v>704060000</v>
      </c>
      <c r="Y122" s="113">
        <v>704060000</v>
      </c>
      <c r="Z122" s="113">
        <f t="shared" si="12"/>
        <v>0</v>
      </c>
      <c r="AA122" s="113">
        <v>704060000</v>
      </c>
      <c r="AB122" s="113">
        <v>719040000</v>
      </c>
      <c r="AC122" s="117"/>
      <c r="AD122" s="118">
        <v>0.04</v>
      </c>
      <c r="AE122" s="118"/>
      <c r="AF122" s="119">
        <v>0</v>
      </c>
      <c r="AG122" s="63"/>
      <c r="AH122" s="118">
        <v>0.04</v>
      </c>
      <c r="AI122" s="63"/>
      <c r="AJ122" s="123"/>
      <c r="AK122" s="115">
        <f t="shared" si="5"/>
        <v>43142400</v>
      </c>
      <c r="AL122" s="113"/>
      <c r="AM122" s="114">
        <v>0</v>
      </c>
      <c r="AN122" s="113">
        <v>0</v>
      </c>
      <c r="AO122" s="113">
        <v>10000000</v>
      </c>
      <c r="AP122" s="113">
        <f t="shared" si="2"/>
        <v>5000000</v>
      </c>
      <c r="AQ122" s="113">
        <f t="shared" si="11"/>
        <v>48142400</v>
      </c>
      <c r="AR122" s="63"/>
      <c r="AS122" s="63"/>
      <c r="AT122" s="63"/>
      <c r="AU122" s="63"/>
      <c r="AV122" s="120" t="s">
        <v>336</v>
      </c>
      <c r="AW122" s="121"/>
      <c r="AX122" s="63"/>
      <c r="AY122" s="63"/>
      <c r="AZ122" s="63"/>
      <c r="BA122" s="63"/>
      <c r="BB122" s="111"/>
      <c r="BC122" s="111"/>
      <c r="BD122" s="123"/>
      <c r="BE122" s="113"/>
    </row>
    <row r="123" spans="1:57">
      <c r="A123" s="63">
        <v>120</v>
      </c>
      <c r="B123" s="109">
        <v>46127</v>
      </c>
      <c r="C123" s="110">
        <v>1</v>
      </c>
      <c r="D123" s="64" t="s">
        <v>104</v>
      </c>
      <c r="E123" s="64" t="s">
        <v>166</v>
      </c>
      <c r="F123" s="63" t="s">
        <v>739</v>
      </c>
      <c r="G123" s="64" t="s">
        <v>740</v>
      </c>
      <c r="H123" s="65" t="s">
        <v>58</v>
      </c>
      <c r="I123" s="64" t="s">
        <v>741</v>
      </c>
      <c r="J123" s="64"/>
      <c r="K123" s="126" t="s">
        <v>324</v>
      </c>
      <c r="L123" s="146" t="s">
        <v>742</v>
      </c>
      <c r="M123" s="64" t="s">
        <v>107</v>
      </c>
      <c r="N123" s="64"/>
      <c r="O123" s="127">
        <v>0</v>
      </c>
      <c r="P123" s="128">
        <v>305000000</v>
      </c>
      <c r="Q123" s="128"/>
      <c r="R123" s="208">
        <v>7.0000000000000007E-2</v>
      </c>
      <c r="S123" s="113"/>
      <c r="T123" s="114"/>
      <c r="U123" s="115"/>
      <c r="V123" s="116"/>
      <c r="W123" s="113"/>
      <c r="X123" s="113">
        <v>305000000</v>
      </c>
      <c r="Y123" s="113">
        <v>305000000</v>
      </c>
      <c r="Z123" s="113">
        <f t="shared" si="12"/>
        <v>0</v>
      </c>
      <c r="AA123" s="113">
        <v>305000000</v>
      </c>
      <c r="AB123" s="113">
        <v>292800000</v>
      </c>
      <c r="AC123" s="117"/>
      <c r="AD123" s="118">
        <v>0.04</v>
      </c>
      <c r="AE123" s="118"/>
      <c r="AF123" s="119">
        <v>0</v>
      </c>
      <c r="AG123" s="63"/>
      <c r="AH123" s="118">
        <v>0.04</v>
      </c>
      <c r="AI123" s="63"/>
      <c r="AJ123" s="123"/>
      <c r="AK123" s="115">
        <f t="shared" si="5"/>
        <v>0</v>
      </c>
      <c r="AL123" s="113"/>
      <c r="AM123" s="114">
        <v>0</v>
      </c>
      <c r="AN123" s="113">
        <v>0</v>
      </c>
      <c r="AO123" s="113">
        <v>0</v>
      </c>
      <c r="AP123" s="113">
        <f t="shared" si="2"/>
        <v>0</v>
      </c>
      <c r="AQ123" s="113">
        <f t="shared" si="11"/>
        <v>0</v>
      </c>
      <c r="AR123" s="63"/>
      <c r="AS123" s="63"/>
      <c r="AT123" s="63"/>
      <c r="AU123" s="63"/>
      <c r="AV123" s="120"/>
      <c r="AW123" s="121"/>
      <c r="AX123" s="63"/>
      <c r="AY123" s="63"/>
      <c r="AZ123" s="63"/>
      <c r="BA123" s="63"/>
      <c r="BB123" s="111"/>
      <c r="BC123" s="111"/>
      <c r="BD123" s="118">
        <v>0.01</v>
      </c>
      <c r="BE123" s="113">
        <f>BD123*AA123</f>
        <v>3050000</v>
      </c>
    </row>
    <row r="124" spans="1:57">
      <c r="A124" s="63">
        <v>121</v>
      </c>
      <c r="B124" s="109">
        <v>46127</v>
      </c>
      <c r="C124" s="110">
        <v>4</v>
      </c>
      <c r="D124" s="64" t="s">
        <v>122</v>
      </c>
      <c r="E124" s="64" t="s">
        <v>183</v>
      </c>
      <c r="F124" s="63" t="s">
        <v>149</v>
      </c>
      <c r="G124" s="64" t="s">
        <v>743</v>
      </c>
      <c r="H124" s="63" t="s">
        <v>117</v>
      </c>
      <c r="I124" s="64" t="s">
        <v>168</v>
      </c>
      <c r="J124" s="64"/>
      <c r="K124" s="126" t="s">
        <v>117</v>
      </c>
      <c r="L124" s="64" t="s">
        <v>744</v>
      </c>
      <c r="M124" s="64" t="s">
        <v>107</v>
      </c>
      <c r="N124" s="64"/>
      <c r="O124" s="127">
        <v>46135</v>
      </c>
      <c r="P124" s="128">
        <v>819000000</v>
      </c>
      <c r="Q124" s="128">
        <v>49140000</v>
      </c>
      <c r="R124" s="208"/>
      <c r="S124" s="114"/>
      <c r="T124" s="129">
        <v>24570000</v>
      </c>
      <c r="U124" s="162"/>
      <c r="V124" s="114"/>
      <c r="W124" s="116">
        <v>15000000</v>
      </c>
      <c r="X124" s="113">
        <v>730290000</v>
      </c>
      <c r="Y124" s="113">
        <v>730290000</v>
      </c>
      <c r="Z124" s="113">
        <f t="shared" si="12"/>
        <v>0</v>
      </c>
      <c r="AA124" s="113">
        <v>745290000</v>
      </c>
      <c r="AB124" s="113">
        <v>752640000</v>
      </c>
      <c r="AC124" s="117"/>
      <c r="AD124" s="118">
        <v>0.04</v>
      </c>
      <c r="AE124" s="118"/>
      <c r="AF124" s="119">
        <v>0</v>
      </c>
      <c r="AG124" s="63"/>
      <c r="AH124" s="118">
        <v>0.04</v>
      </c>
      <c r="AI124" s="63"/>
      <c r="AJ124" s="123"/>
      <c r="AK124" s="115">
        <f t="shared" si="5"/>
        <v>37161600</v>
      </c>
      <c r="AL124" s="113"/>
      <c r="AM124" s="114">
        <v>0</v>
      </c>
      <c r="AN124" s="113">
        <v>0</v>
      </c>
      <c r="AO124" s="113">
        <v>0</v>
      </c>
      <c r="AP124" s="113">
        <f t="shared" si="2"/>
        <v>0</v>
      </c>
      <c r="AQ124" s="113">
        <f t="shared" si="11"/>
        <v>37161600</v>
      </c>
      <c r="AR124" s="63"/>
      <c r="AS124" s="63"/>
      <c r="AT124" s="63"/>
      <c r="AU124" s="63"/>
      <c r="AV124" s="120"/>
      <c r="AW124" s="121"/>
      <c r="AX124" s="63"/>
      <c r="AY124" s="63"/>
      <c r="AZ124" s="63"/>
      <c r="BA124" s="63"/>
      <c r="BB124" s="111"/>
      <c r="BC124" s="111"/>
      <c r="BD124" s="118">
        <v>0.01</v>
      </c>
      <c r="BE124" s="113">
        <f>BD124*AA124</f>
        <v>7452900</v>
      </c>
    </row>
    <row r="125" spans="1:57">
      <c r="A125" s="63">
        <v>122</v>
      </c>
      <c r="B125" s="109">
        <v>46127</v>
      </c>
      <c r="C125" s="110">
        <v>4</v>
      </c>
      <c r="D125" s="64" t="s">
        <v>122</v>
      </c>
      <c r="E125" s="64" t="s">
        <v>564</v>
      </c>
      <c r="F125" s="63" t="s">
        <v>745</v>
      </c>
      <c r="G125" s="64" t="s">
        <v>746</v>
      </c>
      <c r="H125" s="63" t="s">
        <v>155</v>
      </c>
      <c r="I125" s="64" t="s">
        <v>162</v>
      </c>
      <c r="J125" s="64"/>
      <c r="K125" s="126" t="s">
        <v>102</v>
      </c>
      <c r="L125" s="64" t="s">
        <v>747</v>
      </c>
      <c r="M125" s="64" t="s">
        <v>107</v>
      </c>
      <c r="N125" s="64"/>
      <c r="O125" s="127">
        <v>46135</v>
      </c>
      <c r="P125" s="128">
        <v>310000000</v>
      </c>
      <c r="Q125" s="128">
        <v>18600000</v>
      </c>
      <c r="R125" s="208"/>
      <c r="S125" s="114"/>
      <c r="T125" s="114"/>
      <c r="U125" s="162"/>
      <c r="V125" s="114">
        <v>18000000</v>
      </c>
      <c r="W125" s="116">
        <v>5520000</v>
      </c>
      <c r="X125" s="113">
        <v>267880000</v>
      </c>
      <c r="Y125" s="113">
        <v>267880000</v>
      </c>
      <c r="Z125" s="113">
        <f t="shared" si="12"/>
        <v>0</v>
      </c>
      <c r="AA125" s="113">
        <v>273400000</v>
      </c>
      <c r="AB125" s="113">
        <v>297600000</v>
      </c>
      <c r="AC125" s="117"/>
      <c r="AD125" s="118">
        <v>0.04</v>
      </c>
      <c r="AE125" s="118"/>
      <c r="AF125" s="119">
        <v>0</v>
      </c>
      <c r="AG125" s="63"/>
      <c r="AH125" s="118">
        <v>0.04</v>
      </c>
      <c r="AI125" s="63"/>
      <c r="AJ125" s="123"/>
      <c r="AK125" s="115">
        <f t="shared" si="5"/>
        <v>35136000</v>
      </c>
      <c r="AL125" s="113"/>
      <c r="AM125" s="114">
        <v>0</v>
      </c>
      <c r="AN125" s="113">
        <v>0</v>
      </c>
      <c r="AO125" s="113">
        <v>0</v>
      </c>
      <c r="AP125" s="113">
        <f t="shared" si="2"/>
        <v>0</v>
      </c>
      <c r="AQ125" s="113">
        <f t="shared" si="11"/>
        <v>35136000</v>
      </c>
      <c r="AR125" s="63"/>
      <c r="AS125" s="63"/>
      <c r="AT125" s="63"/>
      <c r="AU125" s="63"/>
      <c r="AV125" s="120" t="s">
        <v>748</v>
      </c>
      <c r="AW125" s="121"/>
      <c r="AX125" s="63"/>
      <c r="AY125" s="63"/>
      <c r="AZ125" s="63"/>
      <c r="BA125" s="63"/>
      <c r="BB125" s="106">
        <v>5000000</v>
      </c>
      <c r="BC125" s="111"/>
      <c r="BD125" s="118">
        <v>0.01</v>
      </c>
      <c r="BE125" s="113">
        <f>BD125*AA125</f>
        <v>2734000</v>
      </c>
    </row>
    <row r="126" spans="1:57">
      <c r="A126" s="63">
        <v>123</v>
      </c>
      <c r="B126" s="109">
        <v>46127</v>
      </c>
      <c r="C126" s="110">
        <v>4</v>
      </c>
      <c r="D126" s="64" t="s">
        <v>122</v>
      </c>
      <c r="E126" s="64" t="s">
        <v>183</v>
      </c>
      <c r="F126" s="63" t="s">
        <v>749</v>
      </c>
      <c r="G126" s="64" t="s">
        <v>750</v>
      </c>
      <c r="H126" s="63" t="s">
        <v>155</v>
      </c>
      <c r="I126" s="64" t="s">
        <v>134</v>
      </c>
      <c r="J126" s="64"/>
      <c r="K126" s="126" t="s">
        <v>102</v>
      </c>
      <c r="L126" s="64" t="s">
        <v>751</v>
      </c>
      <c r="M126" s="64" t="s">
        <v>120</v>
      </c>
      <c r="N126" s="64"/>
      <c r="O126" s="127">
        <v>46136</v>
      </c>
      <c r="P126" s="128">
        <v>310000000</v>
      </c>
      <c r="Q126" s="128">
        <v>18600000</v>
      </c>
      <c r="R126" s="208"/>
      <c r="S126" s="114"/>
      <c r="T126" s="114"/>
      <c r="U126" s="138">
        <v>0.05</v>
      </c>
      <c r="V126" s="114"/>
      <c r="W126" s="113"/>
      <c r="X126" s="113">
        <v>275900000</v>
      </c>
      <c r="Y126" s="113">
        <v>275900000</v>
      </c>
      <c r="Z126" s="113">
        <f t="shared" si="12"/>
        <v>0</v>
      </c>
      <c r="AA126" s="113">
        <v>275900000</v>
      </c>
      <c r="AB126" s="113">
        <v>297600000</v>
      </c>
      <c r="AC126" s="117"/>
      <c r="AD126" s="118">
        <v>0.04</v>
      </c>
      <c r="AE126" s="118"/>
      <c r="AF126" s="119">
        <v>0</v>
      </c>
      <c r="AG126" s="63"/>
      <c r="AH126" s="118">
        <v>0.04</v>
      </c>
      <c r="AI126" s="63"/>
      <c r="AJ126" s="123">
        <v>2.5000000000000001E-2</v>
      </c>
      <c r="AK126" s="115">
        <f t="shared" si="5"/>
        <v>24986000</v>
      </c>
      <c r="AL126" s="113"/>
      <c r="AM126" s="114">
        <v>0</v>
      </c>
      <c r="AN126" s="113">
        <v>0</v>
      </c>
      <c r="AO126" s="113">
        <v>0</v>
      </c>
      <c r="AP126" s="113">
        <f t="shared" si="2"/>
        <v>0</v>
      </c>
      <c r="AQ126" s="113">
        <f t="shared" si="11"/>
        <v>24986000</v>
      </c>
      <c r="AR126" s="63"/>
      <c r="AS126" s="63"/>
      <c r="AT126" s="63"/>
      <c r="AU126" s="63"/>
      <c r="AV126" s="120"/>
      <c r="AW126" s="121"/>
      <c r="AX126" s="63"/>
      <c r="AY126" s="63"/>
      <c r="AZ126" s="63"/>
      <c r="BA126" s="63"/>
      <c r="BB126" s="111"/>
      <c r="BC126" s="111"/>
      <c r="BD126" s="123"/>
      <c r="BE126" s="113"/>
    </row>
    <row r="127" spans="1:57">
      <c r="A127" s="63">
        <v>124</v>
      </c>
      <c r="B127" s="109">
        <v>46127</v>
      </c>
      <c r="C127" s="110">
        <v>4</v>
      </c>
      <c r="D127" s="64" t="s">
        <v>122</v>
      </c>
      <c r="E127" s="64" t="s">
        <v>752</v>
      </c>
      <c r="F127" s="63" t="s">
        <v>753</v>
      </c>
      <c r="G127" s="64" t="s">
        <v>754</v>
      </c>
      <c r="H127" s="63" t="s">
        <v>167</v>
      </c>
      <c r="I127" s="64" t="s">
        <v>105</v>
      </c>
      <c r="J127" s="64"/>
      <c r="K127" s="126" t="s">
        <v>111</v>
      </c>
      <c r="L127" s="64" t="s">
        <v>755</v>
      </c>
      <c r="M127" s="64" t="s">
        <v>107</v>
      </c>
      <c r="N127" s="64"/>
      <c r="O127" s="127">
        <v>46136</v>
      </c>
      <c r="P127" s="128">
        <v>537000000</v>
      </c>
      <c r="Q127" s="128">
        <v>32220000</v>
      </c>
      <c r="R127" s="208"/>
      <c r="S127" s="114"/>
      <c r="T127" s="114">
        <v>16110000</v>
      </c>
      <c r="U127" s="162"/>
      <c r="V127" s="114"/>
      <c r="W127" s="116">
        <v>10000000</v>
      </c>
      <c r="X127" s="113">
        <v>478670000</v>
      </c>
      <c r="Y127" s="113">
        <v>478670000</v>
      </c>
      <c r="Z127" s="113">
        <f t="shared" si="12"/>
        <v>0</v>
      </c>
      <c r="AA127" s="113">
        <v>488670000</v>
      </c>
      <c r="AB127" s="113">
        <v>515520000</v>
      </c>
      <c r="AC127" s="117"/>
      <c r="AD127" s="118">
        <v>0.04</v>
      </c>
      <c r="AE127" s="118"/>
      <c r="AF127" s="119">
        <v>0</v>
      </c>
      <c r="AG127" s="63"/>
      <c r="AH127" s="118">
        <v>0.04</v>
      </c>
      <c r="AI127" s="63"/>
      <c r="AJ127" s="123"/>
      <c r="AK127" s="115">
        <f t="shared" si="5"/>
        <v>46396800</v>
      </c>
      <c r="AL127" s="113"/>
      <c r="AM127" s="114">
        <v>0</v>
      </c>
      <c r="AN127" s="113">
        <v>0</v>
      </c>
      <c r="AO127" s="113">
        <v>0</v>
      </c>
      <c r="AP127" s="113">
        <f t="shared" si="2"/>
        <v>0</v>
      </c>
      <c r="AQ127" s="113">
        <f t="shared" si="11"/>
        <v>46396800</v>
      </c>
      <c r="AR127" s="63"/>
      <c r="AS127" s="63"/>
      <c r="AT127" s="63"/>
      <c r="AU127" s="63"/>
      <c r="AV127" s="120"/>
      <c r="AW127" s="121"/>
      <c r="AX127" s="63"/>
      <c r="AY127" s="63"/>
      <c r="AZ127" s="63"/>
      <c r="BA127" s="63"/>
      <c r="BB127" s="111"/>
      <c r="BC127" s="111"/>
      <c r="BD127" s="118">
        <v>0.01</v>
      </c>
      <c r="BE127" s="113">
        <f>BD127*AA127</f>
        <v>4886700</v>
      </c>
    </row>
    <row r="128" spans="1:57">
      <c r="A128" s="63">
        <v>125</v>
      </c>
      <c r="B128" s="109">
        <v>46127</v>
      </c>
      <c r="C128" s="110">
        <v>4</v>
      </c>
      <c r="D128" s="64" t="s">
        <v>122</v>
      </c>
      <c r="E128" s="64" t="s">
        <v>152</v>
      </c>
      <c r="F128" s="63" t="s">
        <v>756</v>
      </c>
      <c r="G128" s="64" t="s">
        <v>757</v>
      </c>
      <c r="H128" s="63" t="s">
        <v>117</v>
      </c>
      <c r="I128" s="64" t="s">
        <v>168</v>
      </c>
      <c r="J128" s="64"/>
      <c r="K128" s="126" t="s">
        <v>117</v>
      </c>
      <c r="L128" s="64" t="s">
        <v>758</v>
      </c>
      <c r="M128" s="64" t="s">
        <v>107</v>
      </c>
      <c r="N128" s="64"/>
      <c r="O128" s="127">
        <v>46136</v>
      </c>
      <c r="P128" s="128">
        <v>819000000</v>
      </c>
      <c r="Q128" s="128">
        <v>49140000</v>
      </c>
      <c r="R128" s="208"/>
      <c r="S128" s="114"/>
      <c r="T128" s="114"/>
      <c r="U128" s="162"/>
      <c r="V128" s="114"/>
      <c r="W128" s="116">
        <v>12000000</v>
      </c>
      <c r="X128" s="113">
        <v>757860000</v>
      </c>
      <c r="Y128" s="113">
        <v>757860000</v>
      </c>
      <c r="Z128" s="113">
        <f t="shared" si="12"/>
        <v>0</v>
      </c>
      <c r="AA128" s="113">
        <v>769860000</v>
      </c>
      <c r="AB128" s="113">
        <v>786240000</v>
      </c>
      <c r="AC128" s="117"/>
      <c r="AD128" s="118">
        <v>0.04</v>
      </c>
      <c r="AE128" s="118"/>
      <c r="AF128" s="119">
        <v>0</v>
      </c>
      <c r="AG128" s="63"/>
      <c r="AH128" s="118">
        <v>0.04</v>
      </c>
      <c r="AI128" s="63"/>
      <c r="AJ128" s="123"/>
      <c r="AK128" s="115">
        <f t="shared" si="5"/>
        <v>47174400</v>
      </c>
      <c r="AL128" s="113"/>
      <c r="AM128" s="114">
        <v>0</v>
      </c>
      <c r="AN128" s="113">
        <v>15000000</v>
      </c>
      <c r="AO128" s="113">
        <v>0</v>
      </c>
      <c r="AP128" s="113">
        <f t="shared" si="2"/>
        <v>0</v>
      </c>
      <c r="AQ128" s="113">
        <f t="shared" si="11"/>
        <v>62174400</v>
      </c>
      <c r="AR128" s="63"/>
      <c r="AS128" s="63"/>
      <c r="AT128" s="63"/>
      <c r="AU128" s="63"/>
      <c r="AV128" s="120" t="s">
        <v>759</v>
      </c>
      <c r="AW128" s="121"/>
      <c r="AX128" s="63"/>
      <c r="AY128" s="63"/>
      <c r="AZ128" s="63"/>
      <c r="BA128" s="63"/>
      <c r="BB128" s="106">
        <v>8003000</v>
      </c>
      <c r="BC128" s="111"/>
      <c r="BD128" s="118">
        <v>0.01</v>
      </c>
      <c r="BE128" s="113">
        <f>BD128*AA128</f>
        <v>7698600</v>
      </c>
    </row>
    <row r="129" spans="1:57">
      <c r="A129" s="63">
        <v>126</v>
      </c>
      <c r="B129" s="109">
        <v>46127</v>
      </c>
      <c r="C129" s="110">
        <v>4</v>
      </c>
      <c r="D129" s="64" t="s">
        <v>122</v>
      </c>
      <c r="E129" s="64" t="s">
        <v>182</v>
      </c>
      <c r="F129" s="63" t="s">
        <v>760</v>
      </c>
      <c r="G129" s="64" t="s">
        <v>761</v>
      </c>
      <c r="H129" s="63" t="s">
        <v>155</v>
      </c>
      <c r="I129" s="64" t="s">
        <v>134</v>
      </c>
      <c r="J129" s="64"/>
      <c r="K129" s="126" t="s">
        <v>108</v>
      </c>
      <c r="L129" s="64" t="s">
        <v>762</v>
      </c>
      <c r="M129" s="64" t="s">
        <v>107</v>
      </c>
      <c r="N129" s="64"/>
      <c r="O129" s="127">
        <v>46137</v>
      </c>
      <c r="P129" s="128">
        <v>302000000</v>
      </c>
      <c r="Q129" s="128">
        <v>18120000</v>
      </c>
      <c r="R129" s="208"/>
      <c r="S129" s="114"/>
      <c r="T129" s="114"/>
      <c r="U129" s="162"/>
      <c r="V129" s="114"/>
      <c r="W129" s="116">
        <v>6000000</v>
      </c>
      <c r="X129" s="113">
        <v>277880000</v>
      </c>
      <c r="Y129" s="113">
        <v>277880000</v>
      </c>
      <c r="Z129" s="113">
        <f t="shared" si="12"/>
        <v>0</v>
      </c>
      <c r="AA129" s="113">
        <v>283880000</v>
      </c>
      <c r="AB129" s="113">
        <v>289920000</v>
      </c>
      <c r="AC129" s="117"/>
      <c r="AD129" s="118">
        <v>0.04</v>
      </c>
      <c r="AE129" s="118"/>
      <c r="AF129" s="119">
        <v>0</v>
      </c>
      <c r="AG129" s="63"/>
      <c r="AH129" s="118">
        <v>0.04</v>
      </c>
      <c r="AI129" s="63"/>
      <c r="AJ129" s="123"/>
      <c r="AK129" s="115">
        <f t="shared" si="5"/>
        <v>17395200</v>
      </c>
      <c r="AL129" s="113"/>
      <c r="AM129" s="114">
        <v>0</v>
      </c>
      <c r="AN129" s="113">
        <v>0</v>
      </c>
      <c r="AO129" s="113">
        <v>0</v>
      </c>
      <c r="AP129" s="113">
        <f t="shared" si="2"/>
        <v>0</v>
      </c>
      <c r="AQ129" s="113">
        <f t="shared" si="11"/>
        <v>17395200</v>
      </c>
      <c r="AR129" s="63"/>
      <c r="AS129" s="63"/>
      <c r="AT129" s="63"/>
      <c r="AU129" s="63"/>
      <c r="AV129" s="120"/>
      <c r="AW129" s="121"/>
      <c r="AX129" s="63"/>
      <c r="AY129" s="63"/>
      <c r="AZ129" s="63"/>
      <c r="BA129" s="63"/>
      <c r="BB129" s="111"/>
      <c r="BC129" s="111"/>
      <c r="BD129" s="118">
        <v>0.01</v>
      </c>
      <c r="BE129" s="113">
        <f>BD129*AA129</f>
        <v>2838800</v>
      </c>
    </row>
    <row r="130" spans="1:57">
      <c r="A130" s="63">
        <v>127</v>
      </c>
      <c r="B130" s="109">
        <v>46127</v>
      </c>
      <c r="C130" s="110">
        <v>4</v>
      </c>
      <c r="D130" s="64" t="s">
        <v>122</v>
      </c>
      <c r="E130" s="64" t="s">
        <v>152</v>
      </c>
      <c r="F130" s="63" t="s">
        <v>763</v>
      </c>
      <c r="G130" s="64" t="s">
        <v>764</v>
      </c>
      <c r="H130" s="63" t="s">
        <v>167</v>
      </c>
      <c r="I130" s="64" t="s">
        <v>105</v>
      </c>
      <c r="J130" s="64"/>
      <c r="K130" s="126" t="s">
        <v>119</v>
      </c>
      <c r="L130" s="64" t="s">
        <v>765</v>
      </c>
      <c r="M130" s="64" t="s">
        <v>123</v>
      </c>
      <c r="N130" s="64"/>
      <c r="O130" s="127">
        <v>46137</v>
      </c>
      <c r="P130" s="128">
        <v>529000000</v>
      </c>
      <c r="Q130" s="128">
        <v>31740000</v>
      </c>
      <c r="R130" s="208"/>
      <c r="S130" s="114"/>
      <c r="T130" s="114"/>
      <c r="U130" s="162"/>
      <c r="V130" s="114"/>
      <c r="W130" s="113">
        <v>10000000</v>
      </c>
      <c r="X130" s="113">
        <v>487260000</v>
      </c>
      <c r="Y130" s="113">
        <v>487260000</v>
      </c>
      <c r="Z130" s="113">
        <f t="shared" si="12"/>
        <v>0</v>
      </c>
      <c r="AA130" s="113">
        <v>497260000</v>
      </c>
      <c r="AB130" s="113">
        <v>507840000</v>
      </c>
      <c r="AC130" s="117"/>
      <c r="AD130" s="118">
        <v>0.04</v>
      </c>
      <c r="AE130" s="118"/>
      <c r="AF130" s="119">
        <v>0</v>
      </c>
      <c r="AG130" s="63"/>
      <c r="AH130" s="118">
        <v>0.04</v>
      </c>
      <c r="AI130" s="63"/>
      <c r="AJ130" s="123"/>
      <c r="AK130" s="115">
        <f t="shared" si="5"/>
        <v>30470400</v>
      </c>
      <c r="AL130" s="113"/>
      <c r="AM130" s="114">
        <v>0</v>
      </c>
      <c r="AN130" s="113">
        <v>0</v>
      </c>
      <c r="AO130" s="113">
        <v>0</v>
      </c>
      <c r="AP130" s="113">
        <f t="shared" si="2"/>
        <v>0</v>
      </c>
      <c r="AQ130" s="113">
        <f t="shared" si="11"/>
        <v>30470400</v>
      </c>
      <c r="AR130" s="63"/>
      <c r="AS130" s="63"/>
      <c r="AT130" s="63"/>
      <c r="AU130" s="63"/>
      <c r="AV130" s="120"/>
      <c r="AW130" s="121"/>
      <c r="AX130" s="63"/>
      <c r="AY130" s="63"/>
      <c r="AZ130" s="63"/>
      <c r="BA130" s="63"/>
      <c r="BB130" s="111"/>
      <c r="BC130" s="111"/>
      <c r="BD130" s="123"/>
      <c r="BE130" s="113"/>
    </row>
    <row r="131" spans="1:57">
      <c r="A131" s="63">
        <v>128</v>
      </c>
      <c r="B131" s="109">
        <v>46127</v>
      </c>
      <c r="C131" s="110">
        <v>4</v>
      </c>
      <c r="D131" s="64" t="s">
        <v>122</v>
      </c>
      <c r="E131" s="64" t="s">
        <v>461</v>
      </c>
      <c r="F131" s="63" t="s">
        <v>766</v>
      </c>
      <c r="G131" s="64" t="s">
        <v>767</v>
      </c>
      <c r="H131" s="64" t="s">
        <v>164</v>
      </c>
      <c r="I131" s="64" t="s">
        <v>105</v>
      </c>
      <c r="J131" s="64"/>
      <c r="K131" s="126" t="s">
        <v>192</v>
      </c>
      <c r="L131" s="64" t="s">
        <v>768</v>
      </c>
      <c r="M131" s="64" t="s">
        <v>107</v>
      </c>
      <c r="N131" s="64"/>
      <c r="O131" s="127">
        <v>46139</v>
      </c>
      <c r="P131" s="128">
        <v>889000000</v>
      </c>
      <c r="Q131" s="128">
        <v>53340000</v>
      </c>
      <c r="R131" s="208"/>
      <c r="S131" s="114"/>
      <c r="T131" s="114">
        <v>26670000</v>
      </c>
      <c r="U131" s="162"/>
      <c r="V131" s="114"/>
      <c r="W131" s="116">
        <v>15000000</v>
      </c>
      <c r="X131" s="113">
        <v>793990000</v>
      </c>
      <c r="Y131" s="113">
        <v>793990000</v>
      </c>
      <c r="Z131" s="113">
        <f t="shared" si="12"/>
        <v>0</v>
      </c>
      <c r="AA131" s="113">
        <v>808990000</v>
      </c>
      <c r="AB131" s="113">
        <v>848995000</v>
      </c>
      <c r="AC131" s="117"/>
      <c r="AD131" s="118">
        <v>4.4999999999999998E-2</v>
      </c>
      <c r="AE131" s="118"/>
      <c r="AF131" s="119">
        <v>0</v>
      </c>
      <c r="AG131" s="63"/>
      <c r="AH131" s="118">
        <v>4.4999999999999998E-2</v>
      </c>
      <c r="AI131" s="63"/>
      <c r="AJ131" s="123"/>
      <c r="AK131" s="115">
        <f t="shared" si="5"/>
        <v>76409550</v>
      </c>
      <c r="AL131" s="113"/>
      <c r="AM131" s="114">
        <v>0</v>
      </c>
      <c r="AN131" s="113">
        <v>0</v>
      </c>
      <c r="AO131" s="113">
        <v>0</v>
      </c>
      <c r="AP131" s="113">
        <f t="shared" si="2"/>
        <v>0</v>
      </c>
      <c r="AQ131" s="113">
        <f t="shared" si="11"/>
        <v>76409550</v>
      </c>
      <c r="AR131" s="63"/>
      <c r="AS131" s="63"/>
      <c r="AT131" s="63"/>
      <c r="AU131" s="63"/>
      <c r="AV131" s="120"/>
      <c r="AW131" s="121"/>
      <c r="AX131" s="63"/>
      <c r="AY131" s="63"/>
      <c r="AZ131" s="63"/>
      <c r="BA131" s="63"/>
      <c r="BB131" s="111"/>
      <c r="BC131" s="111"/>
      <c r="BD131" s="118">
        <v>0.01</v>
      </c>
      <c r="BE131" s="113">
        <f t="shared" ref="BE131:BE142" si="13">BD131*AA131</f>
        <v>8089900</v>
      </c>
    </row>
    <row r="132" spans="1:57">
      <c r="A132" s="63">
        <v>129</v>
      </c>
      <c r="B132" s="109">
        <v>46127</v>
      </c>
      <c r="C132" s="110">
        <v>4</v>
      </c>
      <c r="D132" s="64" t="s">
        <v>122</v>
      </c>
      <c r="E132" s="64" t="s">
        <v>769</v>
      </c>
      <c r="F132" s="63" t="s">
        <v>770</v>
      </c>
      <c r="G132" s="64" t="s">
        <v>771</v>
      </c>
      <c r="H132" s="63" t="s">
        <v>155</v>
      </c>
      <c r="I132" s="64" t="s">
        <v>134</v>
      </c>
      <c r="J132" s="64"/>
      <c r="K132" s="126" t="s">
        <v>108</v>
      </c>
      <c r="L132" s="64" t="s">
        <v>772</v>
      </c>
      <c r="M132" s="64" t="s">
        <v>107</v>
      </c>
      <c r="N132" s="64"/>
      <c r="O132" s="127">
        <v>46140</v>
      </c>
      <c r="P132" s="128">
        <v>302000000</v>
      </c>
      <c r="Q132" s="128">
        <v>18120000</v>
      </c>
      <c r="R132" s="208"/>
      <c r="S132" s="114"/>
      <c r="T132" s="114"/>
      <c r="U132" s="162"/>
      <c r="V132" s="114"/>
      <c r="W132" s="116">
        <v>6000000</v>
      </c>
      <c r="X132" s="113">
        <v>277880000</v>
      </c>
      <c r="Y132" s="113">
        <v>277880000</v>
      </c>
      <c r="Z132" s="113">
        <f t="shared" si="12"/>
        <v>0</v>
      </c>
      <c r="AA132" s="113">
        <v>283880000</v>
      </c>
      <c r="AB132" s="113">
        <v>289919999.60000002</v>
      </c>
      <c r="AC132" s="117"/>
      <c r="AD132" s="118">
        <v>0.04</v>
      </c>
      <c r="AE132" s="118"/>
      <c r="AF132" s="119">
        <v>0</v>
      </c>
      <c r="AG132" s="63"/>
      <c r="AH132" s="118">
        <v>0.04</v>
      </c>
      <c r="AI132" s="63"/>
      <c r="AJ132" s="123"/>
      <c r="AK132" s="115">
        <f t="shared" si="5"/>
        <v>17395199.600000024</v>
      </c>
      <c r="AL132" s="113"/>
      <c r="AM132" s="114">
        <v>0</v>
      </c>
      <c r="AN132" s="113">
        <v>0</v>
      </c>
      <c r="AO132" s="113">
        <v>0</v>
      </c>
      <c r="AP132" s="113">
        <f t="shared" si="2"/>
        <v>0</v>
      </c>
      <c r="AQ132" s="113">
        <f t="shared" si="11"/>
        <v>17395199.600000024</v>
      </c>
      <c r="AR132" s="63"/>
      <c r="AS132" s="63"/>
      <c r="AT132" s="63"/>
      <c r="AU132" s="63"/>
      <c r="AV132" s="120"/>
      <c r="AW132" s="121"/>
      <c r="AX132" s="63"/>
      <c r="AY132" s="63"/>
      <c r="AZ132" s="63"/>
      <c r="BA132" s="63"/>
      <c r="BB132" s="111"/>
      <c r="BC132" s="111"/>
      <c r="BD132" s="118">
        <v>0.01</v>
      </c>
      <c r="BE132" s="113">
        <f t="shared" si="13"/>
        <v>2838800</v>
      </c>
    </row>
    <row r="133" spans="1:57">
      <c r="A133" s="63">
        <v>130</v>
      </c>
      <c r="B133" s="109">
        <v>46127</v>
      </c>
      <c r="C133" s="110">
        <v>4</v>
      </c>
      <c r="D133" s="64" t="s">
        <v>122</v>
      </c>
      <c r="E133" s="64" t="s">
        <v>773</v>
      </c>
      <c r="F133" s="63" t="s">
        <v>774</v>
      </c>
      <c r="G133" s="64" t="s">
        <v>775</v>
      </c>
      <c r="H133" s="63" t="s">
        <v>117</v>
      </c>
      <c r="I133" s="64" t="s">
        <v>168</v>
      </c>
      <c r="J133" s="64"/>
      <c r="K133" s="126" t="s">
        <v>117</v>
      </c>
      <c r="L133" s="64" t="s">
        <v>776</v>
      </c>
      <c r="M133" s="64" t="s">
        <v>107</v>
      </c>
      <c r="N133" s="64"/>
      <c r="O133" s="127">
        <v>46140</v>
      </c>
      <c r="P133" s="128">
        <v>819000000</v>
      </c>
      <c r="Q133" s="128">
        <v>49140000</v>
      </c>
      <c r="R133" s="208"/>
      <c r="S133" s="116">
        <v>1.4999999999999999E-2</v>
      </c>
      <c r="T133" s="114"/>
      <c r="U133" s="162"/>
      <c r="V133" s="114"/>
      <c r="W133" s="116">
        <v>15000000</v>
      </c>
      <c r="X133" s="113">
        <v>743312100</v>
      </c>
      <c r="Y133" s="113">
        <v>743312100</v>
      </c>
      <c r="Z133" s="113">
        <f t="shared" si="12"/>
        <v>0</v>
      </c>
      <c r="AA133" s="113">
        <v>758312100</v>
      </c>
      <c r="AB133" s="113">
        <v>786240000</v>
      </c>
      <c r="AC133" s="117"/>
      <c r="AD133" s="118">
        <v>0.04</v>
      </c>
      <c r="AE133" s="118"/>
      <c r="AF133" s="119">
        <v>0</v>
      </c>
      <c r="AG133" s="63"/>
      <c r="AH133" s="118">
        <v>0.04</v>
      </c>
      <c r="AI133" s="63"/>
      <c r="AJ133" s="123"/>
      <c r="AK133" s="115">
        <f t="shared" si="5"/>
        <v>58260384</v>
      </c>
      <c r="AL133" s="116">
        <f>11547900*40%</f>
        <v>4619160</v>
      </c>
      <c r="AM133" s="114">
        <v>0</v>
      </c>
      <c r="AN133" s="113">
        <v>0</v>
      </c>
      <c r="AO133" s="113">
        <v>0</v>
      </c>
      <c r="AP133" s="113">
        <f t="shared" si="2"/>
        <v>0</v>
      </c>
      <c r="AQ133" s="113">
        <f t="shared" si="11"/>
        <v>62879544</v>
      </c>
      <c r="AR133" s="63"/>
      <c r="AS133" s="63"/>
      <c r="AT133" s="63"/>
      <c r="AU133" s="63"/>
      <c r="AV133" s="120"/>
      <c r="AW133" s="121"/>
      <c r="AX133" s="63"/>
      <c r="AY133" s="63"/>
      <c r="AZ133" s="63"/>
      <c r="BA133" s="63"/>
      <c r="BB133" s="111"/>
      <c r="BC133" s="111"/>
      <c r="BD133" s="118">
        <v>0.01</v>
      </c>
      <c r="BE133" s="113">
        <f t="shared" si="13"/>
        <v>7583121</v>
      </c>
    </row>
    <row r="134" spans="1:57">
      <c r="A134" s="63">
        <v>131</v>
      </c>
      <c r="B134" s="109">
        <v>46127</v>
      </c>
      <c r="C134" s="110">
        <v>1</v>
      </c>
      <c r="D134" s="64" t="s">
        <v>138</v>
      </c>
      <c r="E134" s="64" t="s">
        <v>146</v>
      </c>
      <c r="F134" s="63" t="s">
        <v>777</v>
      </c>
      <c r="G134" s="64" t="s">
        <v>778</v>
      </c>
      <c r="H134" s="63" t="s">
        <v>155</v>
      </c>
      <c r="I134" s="64" t="s">
        <v>140</v>
      </c>
      <c r="J134" s="64"/>
      <c r="K134" s="126" t="s">
        <v>106</v>
      </c>
      <c r="L134" s="64" t="s">
        <v>779</v>
      </c>
      <c r="M134" s="64" t="s">
        <v>107</v>
      </c>
      <c r="N134" s="64"/>
      <c r="O134" s="127">
        <v>0</v>
      </c>
      <c r="P134" s="128">
        <v>315000000</v>
      </c>
      <c r="Q134" s="128">
        <v>18900000</v>
      </c>
      <c r="R134" s="208"/>
      <c r="S134" s="116">
        <v>0.01</v>
      </c>
      <c r="T134" s="114"/>
      <c r="U134" s="115"/>
      <c r="V134" s="116"/>
      <c r="W134" s="116">
        <v>5000000</v>
      </c>
      <c r="X134" s="113">
        <v>288139000</v>
      </c>
      <c r="Y134" s="113">
        <v>288139000</v>
      </c>
      <c r="Z134" s="113">
        <f t="shared" si="12"/>
        <v>0</v>
      </c>
      <c r="AA134" s="113">
        <v>293139000</v>
      </c>
      <c r="AB134" s="113">
        <v>302400000</v>
      </c>
      <c r="AC134" s="117"/>
      <c r="AD134" s="118">
        <v>0.04</v>
      </c>
      <c r="AE134" s="118"/>
      <c r="AF134" s="119">
        <v>0</v>
      </c>
      <c r="AG134" s="63"/>
      <c r="AH134" s="118">
        <v>0.04</v>
      </c>
      <c r="AI134" s="63"/>
      <c r="AJ134" s="123"/>
      <c r="AK134" s="115">
        <f t="shared" si="5"/>
        <v>20986560</v>
      </c>
      <c r="AL134" s="116">
        <f>2961000*40%</f>
        <v>1184400</v>
      </c>
      <c r="AM134" s="114">
        <v>0</v>
      </c>
      <c r="AN134" s="113">
        <v>0</v>
      </c>
      <c r="AO134" s="113">
        <v>0</v>
      </c>
      <c r="AP134" s="113">
        <f t="shared" si="2"/>
        <v>0</v>
      </c>
      <c r="AQ134" s="113">
        <f t="shared" si="11"/>
        <v>22170960</v>
      </c>
      <c r="AR134" s="63"/>
      <c r="AS134" s="63"/>
      <c r="AT134" s="63"/>
      <c r="AU134" s="63"/>
      <c r="AV134" s="120"/>
      <c r="AW134" s="121"/>
      <c r="AX134" s="63"/>
      <c r="AY134" s="63"/>
      <c r="AZ134" s="63"/>
      <c r="BA134" s="63"/>
      <c r="BB134" s="111"/>
      <c r="BC134" s="111"/>
      <c r="BD134" s="118">
        <v>0.01</v>
      </c>
      <c r="BE134" s="113">
        <f t="shared" si="13"/>
        <v>2931390</v>
      </c>
    </row>
    <row r="135" spans="1:57">
      <c r="A135" s="63">
        <v>132</v>
      </c>
      <c r="B135" s="109">
        <v>46127</v>
      </c>
      <c r="C135" s="110">
        <v>1</v>
      </c>
      <c r="D135" s="64" t="s">
        <v>138</v>
      </c>
      <c r="E135" s="64" t="s">
        <v>780</v>
      </c>
      <c r="F135" s="63" t="s">
        <v>781</v>
      </c>
      <c r="G135" s="64" t="s">
        <v>782</v>
      </c>
      <c r="H135" s="63" t="s">
        <v>167</v>
      </c>
      <c r="I135" s="64" t="s">
        <v>140</v>
      </c>
      <c r="J135" s="64"/>
      <c r="K135" s="126" t="s">
        <v>111</v>
      </c>
      <c r="L135" s="64" t="s">
        <v>783</v>
      </c>
      <c r="M135" s="64" t="s">
        <v>107</v>
      </c>
      <c r="N135" s="64"/>
      <c r="O135" s="127">
        <v>0</v>
      </c>
      <c r="P135" s="128">
        <v>537000000</v>
      </c>
      <c r="Q135" s="128">
        <v>32220000</v>
      </c>
      <c r="R135" s="208"/>
      <c r="S135" s="113"/>
      <c r="T135" s="114"/>
      <c r="U135" s="115"/>
      <c r="V135" s="116"/>
      <c r="W135" s="116">
        <v>9000000</v>
      </c>
      <c r="X135" s="113">
        <v>495780000</v>
      </c>
      <c r="Y135" s="113">
        <v>495780000</v>
      </c>
      <c r="Z135" s="113">
        <f t="shared" si="12"/>
        <v>0</v>
      </c>
      <c r="AA135" s="113">
        <v>504780000</v>
      </c>
      <c r="AB135" s="113">
        <v>515520000</v>
      </c>
      <c r="AC135" s="117"/>
      <c r="AD135" s="118">
        <v>0.04</v>
      </c>
      <c r="AE135" s="118"/>
      <c r="AF135" s="119">
        <v>0</v>
      </c>
      <c r="AG135" s="63"/>
      <c r="AH135" s="118">
        <v>0.04</v>
      </c>
      <c r="AI135" s="63"/>
      <c r="AJ135" s="123"/>
      <c r="AK135" s="115">
        <f t="shared" si="5"/>
        <v>30931200</v>
      </c>
      <c r="AL135" s="113"/>
      <c r="AM135" s="114">
        <v>0</v>
      </c>
      <c r="AN135" s="113">
        <v>0</v>
      </c>
      <c r="AO135" s="113">
        <v>0</v>
      </c>
      <c r="AP135" s="113">
        <f t="shared" si="2"/>
        <v>0</v>
      </c>
      <c r="AQ135" s="113">
        <f t="shared" si="11"/>
        <v>30931200</v>
      </c>
      <c r="AR135" s="63"/>
      <c r="AS135" s="63"/>
      <c r="AT135" s="63"/>
      <c r="AU135" s="63"/>
      <c r="AV135" s="120" t="s">
        <v>784</v>
      </c>
      <c r="AW135" s="121"/>
      <c r="AX135" s="63"/>
      <c r="AY135" s="63"/>
      <c r="AZ135" s="63"/>
      <c r="BA135" s="63"/>
      <c r="BB135" s="111">
        <f>6940920+841600</f>
        <v>7782520</v>
      </c>
      <c r="BC135" s="111"/>
      <c r="BD135" s="118">
        <v>0.01</v>
      </c>
      <c r="BE135" s="113">
        <f t="shared" si="13"/>
        <v>5047800</v>
      </c>
    </row>
    <row r="136" spans="1:57">
      <c r="A136" s="63">
        <v>133</v>
      </c>
      <c r="B136" s="109">
        <v>46127</v>
      </c>
      <c r="C136" s="110">
        <v>1</v>
      </c>
      <c r="D136" s="64" t="s">
        <v>138</v>
      </c>
      <c r="E136" s="64" t="s">
        <v>785</v>
      </c>
      <c r="F136" s="63" t="s">
        <v>786</v>
      </c>
      <c r="G136" s="64" t="s">
        <v>787</v>
      </c>
      <c r="H136" s="64" t="s">
        <v>321</v>
      </c>
      <c r="I136" s="64" t="s">
        <v>788</v>
      </c>
      <c r="J136" s="64"/>
      <c r="K136" s="126" t="s">
        <v>177</v>
      </c>
      <c r="L136" s="64" t="s">
        <v>789</v>
      </c>
      <c r="M136" s="64" t="s">
        <v>107</v>
      </c>
      <c r="N136" s="64"/>
      <c r="O136" s="127">
        <v>0</v>
      </c>
      <c r="P136" s="128">
        <v>1199000000</v>
      </c>
      <c r="Q136" s="128">
        <v>119900000</v>
      </c>
      <c r="R136" s="208"/>
      <c r="S136" s="116">
        <v>5.0000000000000001E-3</v>
      </c>
      <c r="T136" s="114">
        <v>35970000</v>
      </c>
      <c r="U136" s="115"/>
      <c r="V136" s="116"/>
      <c r="W136" s="116">
        <v>19900000</v>
      </c>
      <c r="X136" s="113">
        <v>1018014350</v>
      </c>
      <c r="Y136" s="113">
        <v>1018014350</v>
      </c>
      <c r="Z136" s="113">
        <f t="shared" si="12"/>
        <v>0</v>
      </c>
      <c r="AA136" s="113">
        <v>1037914350</v>
      </c>
      <c r="AB136" s="113">
        <v>1133055000</v>
      </c>
      <c r="AC136" s="117"/>
      <c r="AD136" s="118">
        <v>5.5E-2</v>
      </c>
      <c r="AE136" s="118"/>
      <c r="AF136" s="119">
        <v>0</v>
      </c>
      <c r="AG136" s="63"/>
      <c r="AH136" s="118">
        <v>5.5E-2</v>
      </c>
      <c r="AI136" s="63"/>
      <c r="AJ136" s="123"/>
      <c r="AK136" s="115">
        <f t="shared" si="5"/>
        <v>152225939.25</v>
      </c>
      <c r="AL136" s="116">
        <f>5215650*40%</f>
        <v>2086260</v>
      </c>
      <c r="AM136" s="114">
        <v>0</v>
      </c>
      <c r="AN136" s="113">
        <v>0</v>
      </c>
      <c r="AO136" s="113">
        <v>0</v>
      </c>
      <c r="AP136" s="113">
        <f t="shared" si="2"/>
        <v>0</v>
      </c>
      <c r="AQ136" s="113">
        <f t="shared" si="11"/>
        <v>154312199.25</v>
      </c>
      <c r="AR136" s="63"/>
      <c r="AS136" s="63"/>
      <c r="AT136" s="63"/>
      <c r="AU136" s="63"/>
      <c r="AV136" s="120" t="s">
        <v>790</v>
      </c>
      <c r="AW136" s="121"/>
      <c r="AX136" s="63"/>
      <c r="AY136" s="63"/>
      <c r="AZ136" s="63"/>
      <c r="BA136" s="63"/>
      <c r="BB136" s="111">
        <f>9294471+480700</f>
        <v>9775171</v>
      </c>
      <c r="BC136" s="111"/>
      <c r="BD136" s="123">
        <v>0.02</v>
      </c>
      <c r="BE136" s="128">
        <f t="shared" si="13"/>
        <v>20758287</v>
      </c>
    </row>
    <row r="137" spans="1:57">
      <c r="A137" s="63">
        <v>134</v>
      </c>
      <c r="B137" s="109">
        <v>46127</v>
      </c>
      <c r="C137" s="110">
        <v>1</v>
      </c>
      <c r="D137" s="64" t="s">
        <v>138</v>
      </c>
      <c r="E137" s="64" t="s">
        <v>144</v>
      </c>
      <c r="F137" s="63" t="s">
        <v>791</v>
      </c>
      <c r="G137" s="64" t="s">
        <v>792</v>
      </c>
      <c r="H137" s="63" t="s">
        <v>117</v>
      </c>
      <c r="I137" s="64" t="s">
        <v>53</v>
      </c>
      <c r="J137" s="64"/>
      <c r="K137" s="126" t="s">
        <v>117</v>
      </c>
      <c r="L137" s="64" t="s">
        <v>793</v>
      </c>
      <c r="M137" s="64" t="s">
        <v>107</v>
      </c>
      <c r="N137" s="64"/>
      <c r="O137" s="127">
        <v>0</v>
      </c>
      <c r="P137" s="128">
        <v>819000000</v>
      </c>
      <c r="Q137" s="128"/>
      <c r="R137" s="208">
        <v>7.0000000000000007E-2</v>
      </c>
      <c r="S137" s="113"/>
      <c r="T137" s="114"/>
      <c r="U137" s="115"/>
      <c r="V137" s="116"/>
      <c r="W137" s="116">
        <v>10000000</v>
      </c>
      <c r="X137" s="113">
        <v>809000000</v>
      </c>
      <c r="Y137" s="113">
        <v>809000000</v>
      </c>
      <c r="Z137" s="113">
        <f t="shared" si="12"/>
        <v>0</v>
      </c>
      <c r="AA137" s="113">
        <v>819000000</v>
      </c>
      <c r="AB137" s="113">
        <v>786240000</v>
      </c>
      <c r="AC137" s="117"/>
      <c r="AD137" s="118">
        <v>0.04</v>
      </c>
      <c r="AE137" s="118"/>
      <c r="AF137" s="119">
        <v>0</v>
      </c>
      <c r="AG137" s="63"/>
      <c r="AH137" s="118">
        <v>0.04</v>
      </c>
      <c r="AI137" s="63"/>
      <c r="AJ137" s="123"/>
      <c r="AK137" s="115">
        <f t="shared" si="5"/>
        <v>0</v>
      </c>
      <c r="AL137" s="113"/>
      <c r="AM137" s="114">
        <v>0</v>
      </c>
      <c r="AN137" s="113">
        <v>0</v>
      </c>
      <c r="AO137" s="113">
        <v>15000000</v>
      </c>
      <c r="AP137" s="113">
        <f t="shared" si="2"/>
        <v>7500000</v>
      </c>
      <c r="AQ137" s="113">
        <f t="shared" si="11"/>
        <v>7500000</v>
      </c>
      <c r="AR137" s="63"/>
      <c r="AS137" s="63"/>
      <c r="AT137" s="63"/>
      <c r="AU137" s="63"/>
      <c r="AV137" s="120" t="s">
        <v>794</v>
      </c>
      <c r="AW137" s="121"/>
      <c r="AX137" s="63"/>
      <c r="AY137" s="63"/>
      <c r="AZ137" s="63"/>
      <c r="BA137" s="63"/>
      <c r="BB137" s="106">
        <v>8090000</v>
      </c>
      <c r="BC137" s="111"/>
      <c r="BD137" s="118">
        <v>0.01</v>
      </c>
      <c r="BE137" s="113">
        <f t="shared" si="13"/>
        <v>8190000</v>
      </c>
    </row>
    <row r="138" spans="1:57">
      <c r="A138" s="63">
        <v>135</v>
      </c>
      <c r="B138" s="109">
        <v>46127</v>
      </c>
      <c r="C138" s="110">
        <v>1</v>
      </c>
      <c r="D138" s="64" t="s">
        <v>138</v>
      </c>
      <c r="E138" s="64" t="s">
        <v>189</v>
      </c>
      <c r="F138" s="63" t="s">
        <v>795</v>
      </c>
      <c r="G138" s="64" t="s">
        <v>796</v>
      </c>
      <c r="H138" s="63" t="s">
        <v>117</v>
      </c>
      <c r="I138" s="64" t="s">
        <v>53</v>
      </c>
      <c r="J138" s="64"/>
      <c r="K138" s="126" t="s">
        <v>117</v>
      </c>
      <c r="L138" s="64" t="s">
        <v>797</v>
      </c>
      <c r="M138" s="64" t="s">
        <v>107</v>
      </c>
      <c r="N138" s="64"/>
      <c r="O138" s="127">
        <v>0</v>
      </c>
      <c r="P138" s="128">
        <v>819000000</v>
      </c>
      <c r="Q138" s="128">
        <v>49140000</v>
      </c>
      <c r="R138" s="208"/>
      <c r="S138" s="113"/>
      <c r="T138" s="114"/>
      <c r="U138" s="115"/>
      <c r="V138" s="116"/>
      <c r="W138" s="116">
        <v>12000000</v>
      </c>
      <c r="X138" s="113">
        <v>757860000</v>
      </c>
      <c r="Y138" s="113">
        <v>757860000</v>
      </c>
      <c r="Z138" s="113">
        <f t="shared" si="12"/>
        <v>0</v>
      </c>
      <c r="AA138" s="113">
        <v>769860000</v>
      </c>
      <c r="AB138" s="113">
        <v>786240000</v>
      </c>
      <c r="AC138" s="117"/>
      <c r="AD138" s="118">
        <v>0.04</v>
      </c>
      <c r="AE138" s="118"/>
      <c r="AF138" s="119">
        <v>0</v>
      </c>
      <c r="AG138" s="63"/>
      <c r="AH138" s="118">
        <v>0.04</v>
      </c>
      <c r="AI138" s="63"/>
      <c r="AJ138" s="123"/>
      <c r="AK138" s="115">
        <f t="shared" si="5"/>
        <v>47174400</v>
      </c>
      <c r="AL138" s="113"/>
      <c r="AM138" s="114">
        <v>0</v>
      </c>
      <c r="AN138" s="113">
        <v>0</v>
      </c>
      <c r="AO138" s="113">
        <v>15000000</v>
      </c>
      <c r="AP138" s="113">
        <f t="shared" si="2"/>
        <v>7500000</v>
      </c>
      <c r="AQ138" s="113">
        <f t="shared" si="11"/>
        <v>54674400</v>
      </c>
      <c r="AR138" s="63"/>
      <c r="AS138" s="63"/>
      <c r="AT138" s="63"/>
      <c r="AU138" s="63"/>
      <c r="AV138" s="120"/>
      <c r="AW138" s="121"/>
      <c r="AX138" s="63"/>
      <c r="AY138" s="63"/>
      <c r="AZ138" s="63"/>
      <c r="BA138" s="63"/>
      <c r="BB138" s="111"/>
      <c r="BC138" s="111"/>
      <c r="BD138" s="118">
        <v>0.01</v>
      </c>
      <c r="BE138" s="113">
        <f t="shared" si="13"/>
        <v>7698600</v>
      </c>
    </row>
    <row r="139" spans="1:57">
      <c r="A139" s="63">
        <v>136</v>
      </c>
      <c r="B139" s="109">
        <v>46127</v>
      </c>
      <c r="C139" s="110">
        <v>1</v>
      </c>
      <c r="D139" s="64" t="s">
        <v>138</v>
      </c>
      <c r="E139" s="64" t="s">
        <v>189</v>
      </c>
      <c r="F139" s="63" t="s">
        <v>798</v>
      </c>
      <c r="G139" s="64" t="s">
        <v>799</v>
      </c>
      <c r="H139" s="63" t="s">
        <v>117</v>
      </c>
      <c r="I139" s="64" t="s">
        <v>53</v>
      </c>
      <c r="J139" s="64"/>
      <c r="K139" s="126" t="s">
        <v>117</v>
      </c>
      <c r="L139" s="64" t="s">
        <v>800</v>
      </c>
      <c r="M139" s="64" t="s">
        <v>107</v>
      </c>
      <c r="N139" s="64"/>
      <c r="O139" s="127">
        <v>0</v>
      </c>
      <c r="P139" s="128">
        <v>819000000</v>
      </c>
      <c r="Q139" s="128">
        <v>49140000</v>
      </c>
      <c r="R139" s="208"/>
      <c r="S139" s="113"/>
      <c r="T139" s="114"/>
      <c r="U139" s="115"/>
      <c r="V139" s="116"/>
      <c r="W139" s="116">
        <v>12000000</v>
      </c>
      <c r="X139" s="113">
        <v>757860000</v>
      </c>
      <c r="Y139" s="113">
        <v>757860000</v>
      </c>
      <c r="Z139" s="113">
        <f t="shared" si="12"/>
        <v>0</v>
      </c>
      <c r="AA139" s="113">
        <v>769860000</v>
      </c>
      <c r="AB139" s="113">
        <v>786240000</v>
      </c>
      <c r="AC139" s="117"/>
      <c r="AD139" s="118">
        <v>0.04</v>
      </c>
      <c r="AE139" s="118"/>
      <c r="AF139" s="119">
        <v>0</v>
      </c>
      <c r="AG139" s="63"/>
      <c r="AH139" s="118">
        <v>0.04</v>
      </c>
      <c r="AI139" s="63"/>
      <c r="AJ139" s="123"/>
      <c r="AK139" s="115">
        <f t="shared" si="5"/>
        <v>47174400</v>
      </c>
      <c r="AL139" s="113"/>
      <c r="AM139" s="114">
        <v>0</v>
      </c>
      <c r="AN139" s="113">
        <v>0</v>
      </c>
      <c r="AO139" s="113">
        <v>15000000</v>
      </c>
      <c r="AP139" s="113">
        <f t="shared" si="2"/>
        <v>7500000</v>
      </c>
      <c r="AQ139" s="113">
        <f t="shared" si="11"/>
        <v>54674400</v>
      </c>
      <c r="AR139" s="63"/>
      <c r="AS139" s="63"/>
      <c r="AT139" s="63"/>
      <c r="AU139" s="63"/>
      <c r="AV139" s="120"/>
      <c r="AW139" s="121"/>
      <c r="AX139" s="63"/>
      <c r="AY139" s="63"/>
      <c r="AZ139" s="63"/>
      <c r="BA139" s="63"/>
      <c r="BB139" s="111"/>
      <c r="BC139" s="111"/>
      <c r="BD139" s="118">
        <v>0.01</v>
      </c>
      <c r="BE139" s="113">
        <f t="shared" si="13"/>
        <v>7698600</v>
      </c>
    </row>
    <row r="140" spans="1:57">
      <c r="A140" s="63">
        <v>137</v>
      </c>
      <c r="B140" s="109">
        <v>46127</v>
      </c>
      <c r="C140" s="110">
        <v>1</v>
      </c>
      <c r="D140" s="64" t="s">
        <v>138</v>
      </c>
      <c r="E140" s="64" t="s">
        <v>801</v>
      </c>
      <c r="F140" s="63" t="s">
        <v>802</v>
      </c>
      <c r="G140" s="64" t="s">
        <v>803</v>
      </c>
      <c r="H140" s="63" t="s">
        <v>155</v>
      </c>
      <c r="I140" s="64" t="s">
        <v>140</v>
      </c>
      <c r="J140" s="64"/>
      <c r="K140" s="126" t="s">
        <v>121</v>
      </c>
      <c r="L140" s="64" t="s">
        <v>804</v>
      </c>
      <c r="M140" s="64" t="s">
        <v>107</v>
      </c>
      <c r="N140" s="64"/>
      <c r="O140" s="127">
        <v>0</v>
      </c>
      <c r="P140" s="128">
        <v>323000000</v>
      </c>
      <c r="Q140" s="128">
        <v>19380000</v>
      </c>
      <c r="R140" s="208"/>
      <c r="S140" s="113"/>
      <c r="T140" s="114"/>
      <c r="U140" s="115"/>
      <c r="V140" s="116"/>
      <c r="W140" s="113"/>
      <c r="X140" s="113">
        <v>303620000</v>
      </c>
      <c r="Y140" s="113">
        <v>303620000</v>
      </c>
      <c r="Z140" s="113">
        <f t="shared" si="12"/>
        <v>0</v>
      </c>
      <c r="AA140" s="113">
        <v>303620000</v>
      </c>
      <c r="AB140" s="113">
        <v>310080000</v>
      </c>
      <c r="AC140" s="117"/>
      <c r="AD140" s="118">
        <v>0.04</v>
      </c>
      <c r="AE140" s="118"/>
      <c r="AF140" s="119">
        <v>0</v>
      </c>
      <c r="AG140" s="63"/>
      <c r="AH140" s="118">
        <v>0.04</v>
      </c>
      <c r="AI140" s="63"/>
      <c r="AJ140" s="123"/>
      <c r="AK140" s="115">
        <f t="shared" si="5"/>
        <v>18604800</v>
      </c>
      <c r="AL140" s="113"/>
      <c r="AM140" s="114">
        <v>0</v>
      </c>
      <c r="AN140" s="113">
        <v>0</v>
      </c>
      <c r="AO140" s="113">
        <v>0</v>
      </c>
      <c r="AP140" s="113">
        <f t="shared" si="2"/>
        <v>0</v>
      </c>
      <c r="AQ140" s="113">
        <f t="shared" si="11"/>
        <v>18604800</v>
      </c>
      <c r="AR140" s="63"/>
      <c r="AS140" s="63"/>
      <c r="AT140" s="63"/>
      <c r="AU140" s="63"/>
      <c r="AV140" s="120"/>
      <c r="AW140" s="121"/>
      <c r="AX140" s="63"/>
      <c r="AY140" s="63"/>
      <c r="AZ140" s="63"/>
      <c r="BA140" s="63"/>
      <c r="BB140" s="111"/>
      <c r="BC140" s="111"/>
      <c r="BD140" s="118">
        <v>0.01</v>
      </c>
      <c r="BE140" s="113">
        <f t="shared" si="13"/>
        <v>3036200</v>
      </c>
    </row>
    <row r="141" spans="1:57">
      <c r="A141" s="63">
        <v>138</v>
      </c>
      <c r="B141" s="109">
        <v>46127</v>
      </c>
      <c r="C141" s="110">
        <v>1</v>
      </c>
      <c r="D141" s="64" t="s">
        <v>138</v>
      </c>
      <c r="E141" s="64" t="s">
        <v>194</v>
      </c>
      <c r="F141" s="63" t="s">
        <v>805</v>
      </c>
      <c r="G141" s="64" t="s">
        <v>806</v>
      </c>
      <c r="H141" s="64" t="s">
        <v>164</v>
      </c>
      <c r="I141" s="64" t="s">
        <v>587</v>
      </c>
      <c r="J141" s="64"/>
      <c r="K141" s="126" t="s">
        <v>320</v>
      </c>
      <c r="L141" s="64" t="s">
        <v>807</v>
      </c>
      <c r="M141" s="64" t="s">
        <v>107</v>
      </c>
      <c r="N141" s="64"/>
      <c r="O141" s="127">
        <v>0</v>
      </c>
      <c r="P141" s="128">
        <v>799000000</v>
      </c>
      <c r="Q141" s="128">
        <v>47940000</v>
      </c>
      <c r="R141" s="208"/>
      <c r="S141" s="113"/>
      <c r="T141" s="114">
        <v>23970000</v>
      </c>
      <c r="U141" s="138">
        <v>0.05</v>
      </c>
      <c r="V141" s="116">
        <v>20000000</v>
      </c>
      <c r="W141" s="116"/>
      <c r="X141" s="113">
        <v>667140000</v>
      </c>
      <c r="Y141" s="113">
        <v>667140000</v>
      </c>
      <c r="Z141" s="113">
        <f t="shared" si="12"/>
        <v>0</v>
      </c>
      <c r="AA141" s="113">
        <v>667140000</v>
      </c>
      <c r="AB141" s="113">
        <v>763045000</v>
      </c>
      <c r="AC141" s="117"/>
      <c r="AD141" s="118">
        <v>4.4999999999999998E-2</v>
      </c>
      <c r="AE141" s="118"/>
      <c r="AF141" s="119">
        <v>0</v>
      </c>
      <c r="AG141" s="63"/>
      <c r="AH141" s="118">
        <v>4.4999999999999998E-2</v>
      </c>
      <c r="AI141" s="63"/>
      <c r="AJ141" s="123">
        <v>2.5000000000000001E-2</v>
      </c>
      <c r="AK141" s="115">
        <f t="shared" si="5"/>
        <v>105951300</v>
      </c>
      <c r="AL141" s="113"/>
      <c r="AM141" s="114">
        <v>0</v>
      </c>
      <c r="AN141" s="113">
        <v>0</v>
      </c>
      <c r="AO141" s="113">
        <v>0</v>
      </c>
      <c r="AP141" s="113">
        <f t="shared" si="2"/>
        <v>0</v>
      </c>
      <c r="AQ141" s="113">
        <f t="shared" si="11"/>
        <v>105951300</v>
      </c>
      <c r="AR141" s="63"/>
      <c r="AS141" s="63"/>
      <c r="AT141" s="63"/>
      <c r="AU141" s="63"/>
      <c r="AV141" s="120" t="s">
        <v>790</v>
      </c>
      <c r="AW141" s="121"/>
      <c r="AX141" s="63"/>
      <c r="AY141" s="63"/>
      <c r="AZ141" s="63"/>
      <c r="BA141" s="63"/>
      <c r="BB141" s="111">
        <f>6654686+480700</f>
        <v>7135386</v>
      </c>
      <c r="BC141" s="111"/>
      <c r="BD141" s="118">
        <v>0.01</v>
      </c>
      <c r="BE141" s="113">
        <f t="shared" si="13"/>
        <v>6671400</v>
      </c>
    </row>
    <row r="142" spans="1:57">
      <c r="A142" s="63">
        <v>139</v>
      </c>
      <c r="B142" s="109">
        <v>46127</v>
      </c>
      <c r="C142" s="110">
        <v>1</v>
      </c>
      <c r="D142" s="64" t="s">
        <v>138</v>
      </c>
      <c r="E142" s="64" t="s">
        <v>188</v>
      </c>
      <c r="F142" s="63" t="s">
        <v>808</v>
      </c>
      <c r="G142" s="64" t="s">
        <v>809</v>
      </c>
      <c r="H142" s="63" t="s">
        <v>155</v>
      </c>
      <c r="I142" s="64" t="s">
        <v>140</v>
      </c>
      <c r="J142" s="64"/>
      <c r="K142" s="126" t="s">
        <v>106</v>
      </c>
      <c r="L142" s="64" t="s">
        <v>810</v>
      </c>
      <c r="M142" s="64" t="s">
        <v>107</v>
      </c>
      <c r="N142" s="64"/>
      <c r="O142" s="127">
        <v>0</v>
      </c>
      <c r="P142" s="128">
        <v>315000000</v>
      </c>
      <c r="Q142" s="128">
        <v>18900000</v>
      </c>
      <c r="R142" s="208"/>
      <c r="S142" s="113"/>
      <c r="T142" s="114"/>
      <c r="U142" s="138">
        <v>0.05</v>
      </c>
      <c r="V142" s="116"/>
      <c r="W142" s="113"/>
      <c r="X142" s="113">
        <v>280350000</v>
      </c>
      <c r="Y142" s="113">
        <v>280350000</v>
      </c>
      <c r="Z142" s="113">
        <f t="shared" si="12"/>
        <v>0</v>
      </c>
      <c r="AA142" s="113">
        <v>280350000</v>
      </c>
      <c r="AB142" s="113">
        <v>302400000</v>
      </c>
      <c r="AC142" s="117"/>
      <c r="AD142" s="118">
        <v>0.04</v>
      </c>
      <c r="AE142" s="118"/>
      <c r="AF142" s="119">
        <v>0</v>
      </c>
      <c r="AG142" s="63"/>
      <c r="AH142" s="118">
        <v>0.04</v>
      </c>
      <c r="AI142" s="63"/>
      <c r="AJ142" s="123">
        <v>2.5000000000000001E-2</v>
      </c>
      <c r="AK142" s="115">
        <f t="shared" si="5"/>
        <v>25389000</v>
      </c>
      <c r="AL142" s="113"/>
      <c r="AM142" s="114">
        <v>0</v>
      </c>
      <c r="AN142" s="113">
        <v>0</v>
      </c>
      <c r="AO142" s="113">
        <v>0</v>
      </c>
      <c r="AP142" s="113">
        <f t="shared" si="2"/>
        <v>0</v>
      </c>
      <c r="AQ142" s="113">
        <f t="shared" si="11"/>
        <v>25389000</v>
      </c>
      <c r="AR142" s="63"/>
      <c r="AS142" s="63"/>
      <c r="AT142" s="63"/>
      <c r="AU142" s="63"/>
      <c r="AV142" s="120"/>
      <c r="AW142" s="121"/>
      <c r="AX142" s="63"/>
      <c r="AY142" s="63"/>
      <c r="AZ142" s="63"/>
      <c r="BA142" s="63"/>
      <c r="BB142" s="111"/>
      <c r="BC142" s="111"/>
      <c r="BD142" s="118">
        <v>0.01</v>
      </c>
      <c r="BE142" s="113">
        <f t="shared" si="13"/>
        <v>2803500</v>
      </c>
    </row>
    <row r="143" spans="1:57">
      <c r="A143" s="63">
        <v>140</v>
      </c>
      <c r="B143" s="109">
        <v>46127</v>
      </c>
      <c r="C143" s="110">
        <v>1</v>
      </c>
      <c r="D143" s="64" t="s">
        <v>138</v>
      </c>
      <c r="E143" s="64" t="s">
        <v>188</v>
      </c>
      <c r="F143" s="63" t="s">
        <v>811</v>
      </c>
      <c r="G143" s="64" t="s">
        <v>812</v>
      </c>
      <c r="H143" s="63" t="s">
        <v>155</v>
      </c>
      <c r="I143" s="64" t="s">
        <v>140</v>
      </c>
      <c r="J143" s="64"/>
      <c r="K143" s="126" t="s">
        <v>106</v>
      </c>
      <c r="L143" s="64" t="s">
        <v>813</v>
      </c>
      <c r="M143" s="64" t="s">
        <v>123</v>
      </c>
      <c r="N143" s="64"/>
      <c r="O143" s="127">
        <v>0</v>
      </c>
      <c r="P143" s="128">
        <v>315000000</v>
      </c>
      <c r="Q143" s="128">
        <v>18900000</v>
      </c>
      <c r="R143" s="208"/>
      <c r="S143" s="113"/>
      <c r="T143" s="114">
        <v>9450000</v>
      </c>
      <c r="U143" s="138">
        <v>0.05</v>
      </c>
      <c r="V143" s="116"/>
      <c r="W143" s="113"/>
      <c r="X143" s="113">
        <v>270900000</v>
      </c>
      <c r="Y143" s="113">
        <v>270900000</v>
      </c>
      <c r="Z143" s="113">
        <f t="shared" si="12"/>
        <v>0</v>
      </c>
      <c r="AA143" s="113">
        <v>270900000</v>
      </c>
      <c r="AB143" s="113">
        <v>302400000</v>
      </c>
      <c r="AC143" s="117"/>
      <c r="AD143" s="118">
        <v>0.04</v>
      </c>
      <c r="AE143" s="118"/>
      <c r="AF143" s="119">
        <v>0</v>
      </c>
      <c r="AG143" s="63"/>
      <c r="AH143" s="118">
        <v>0.04</v>
      </c>
      <c r="AI143" s="63"/>
      <c r="AJ143" s="123">
        <v>2.5000000000000001E-2</v>
      </c>
      <c r="AK143" s="115">
        <f t="shared" si="5"/>
        <v>34461000</v>
      </c>
      <c r="AL143" s="113"/>
      <c r="AM143" s="114">
        <v>0</v>
      </c>
      <c r="AN143" s="113">
        <v>0</v>
      </c>
      <c r="AO143" s="113">
        <v>0</v>
      </c>
      <c r="AP143" s="113">
        <f t="shared" si="2"/>
        <v>0</v>
      </c>
      <c r="AQ143" s="113">
        <f t="shared" si="11"/>
        <v>34461000</v>
      </c>
      <c r="AR143" s="63"/>
      <c r="AS143" s="63"/>
      <c r="AT143" s="63"/>
      <c r="AU143" s="63"/>
      <c r="AV143" s="120"/>
      <c r="AW143" s="121"/>
      <c r="AX143" s="63"/>
      <c r="AY143" s="63"/>
      <c r="AZ143" s="63"/>
      <c r="BA143" s="63"/>
      <c r="BB143" s="111"/>
      <c r="BC143" s="111"/>
      <c r="BD143" s="123"/>
      <c r="BE143" s="113"/>
    </row>
    <row r="144" spans="1:57">
      <c r="A144" s="63">
        <v>141</v>
      </c>
      <c r="B144" s="109">
        <v>46127</v>
      </c>
      <c r="C144" s="110">
        <v>1</v>
      </c>
      <c r="D144" s="64" t="s">
        <v>138</v>
      </c>
      <c r="E144" s="64" t="s">
        <v>143</v>
      </c>
      <c r="F144" s="63" t="s">
        <v>814</v>
      </c>
      <c r="G144" s="64" t="s">
        <v>815</v>
      </c>
      <c r="H144" s="63" t="s">
        <v>155</v>
      </c>
      <c r="I144" s="64" t="s">
        <v>140</v>
      </c>
      <c r="J144" s="64"/>
      <c r="K144" s="126" t="s">
        <v>121</v>
      </c>
      <c r="L144" s="64" t="s">
        <v>816</v>
      </c>
      <c r="M144" s="64" t="s">
        <v>107</v>
      </c>
      <c r="N144" s="64"/>
      <c r="O144" s="127">
        <v>0</v>
      </c>
      <c r="P144" s="128">
        <v>323000000</v>
      </c>
      <c r="Q144" s="128">
        <v>19380000</v>
      </c>
      <c r="R144" s="208"/>
      <c r="S144" s="113"/>
      <c r="T144" s="114"/>
      <c r="U144" s="115"/>
      <c r="V144" s="116"/>
      <c r="W144" s="116">
        <v>5000000</v>
      </c>
      <c r="X144" s="113">
        <v>298620000</v>
      </c>
      <c r="Y144" s="113">
        <v>298620000</v>
      </c>
      <c r="Z144" s="113">
        <f t="shared" si="12"/>
        <v>0</v>
      </c>
      <c r="AA144" s="113">
        <v>303620000</v>
      </c>
      <c r="AB144" s="113">
        <v>310080000</v>
      </c>
      <c r="AC144" s="117"/>
      <c r="AD144" s="118">
        <v>0.04</v>
      </c>
      <c r="AE144" s="118"/>
      <c r="AF144" s="119">
        <v>0</v>
      </c>
      <c r="AG144" s="63"/>
      <c r="AH144" s="118">
        <v>0.04</v>
      </c>
      <c r="AI144" s="63"/>
      <c r="AJ144" s="123"/>
      <c r="AK144" s="115">
        <f t="shared" si="5"/>
        <v>18604800</v>
      </c>
      <c r="AL144" s="113"/>
      <c r="AM144" s="114">
        <v>0</v>
      </c>
      <c r="AN144" s="113">
        <v>0</v>
      </c>
      <c r="AO144" s="113">
        <v>0</v>
      </c>
      <c r="AP144" s="113">
        <f t="shared" si="2"/>
        <v>0</v>
      </c>
      <c r="AQ144" s="113">
        <f t="shared" si="11"/>
        <v>18604800</v>
      </c>
      <c r="AR144" s="63"/>
      <c r="AS144" s="63"/>
      <c r="AT144" s="63"/>
      <c r="AU144" s="63"/>
      <c r="AV144" s="120"/>
      <c r="AW144" s="121"/>
      <c r="AX144" s="63"/>
      <c r="AY144" s="63"/>
      <c r="AZ144" s="63"/>
      <c r="BA144" s="63"/>
      <c r="BB144" s="111"/>
      <c r="BC144" s="111"/>
      <c r="BD144" s="118">
        <v>0.01</v>
      </c>
      <c r="BE144" s="113">
        <f t="shared" ref="BE144:BE152" si="14">BD144*AA144</f>
        <v>3036200</v>
      </c>
    </row>
    <row r="145" spans="1:57">
      <c r="A145" s="63">
        <v>142</v>
      </c>
      <c r="B145" s="109">
        <v>46127</v>
      </c>
      <c r="C145" s="110">
        <v>1</v>
      </c>
      <c r="D145" s="64" t="s">
        <v>138</v>
      </c>
      <c r="E145" s="64" t="s">
        <v>139</v>
      </c>
      <c r="F145" s="63" t="s">
        <v>817</v>
      </c>
      <c r="G145" s="64" t="s">
        <v>818</v>
      </c>
      <c r="H145" s="63" t="s">
        <v>52</v>
      </c>
      <c r="I145" s="64" t="s">
        <v>114</v>
      </c>
      <c r="J145" s="64"/>
      <c r="K145" s="126" t="s">
        <v>114</v>
      </c>
      <c r="L145" s="64" t="s">
        <v>819</v>
      </c>
      <c r="M145" s="64" t="s">
        <v>107</v>
      </c>
      <c r="N145" s="64"/>
      <c r="O145" s="127">
        <v>0</v>
      </c>
      <c r="P145" s="128">
        <v>749000000</v>
      </c>
      <c r="Q145" s="128">
        <v>44940000</v>
      </c>
      <c r="R145" s="208"/>
      <c r="S145" s="113"/>
      <c r="T145" s="114"/>
      <c r="U145" s="115"/>
      <c r="V145" s="116"/>
      <c r="W145" s="116">
        <v>12000000</v>
      </c>
      <c r="X145" s="113">
        <v>692060000</v>
      </c>
      <c r="Y145" s="113">
        <v>692060000</v>
      </c>
      <c r="Z145" s="113">
        <f t="shared" si="12"/>
        <v>0</v>
      </c>
      <c r="AA145" s="113">
        <v>704060000</v>
      </c>
      <c r="AB145" s="113">
        <v>719040000</v>
      </c>
      <c r="AC145" s="117"/>
      <c r="AD145" s="118">
        <v>0.04</v>
      </c>
      <c r="AE145" s="118"/>
      <c r="AF145" s="119">
        <v>0</v>
      </c>
      <c r="AG145" s="63"/>
      <c r="AH145" s="118">
        <v>0.04</v>
      </c>
      <c r="AI145" s="63"/>
      <c r="AJ145" s="123"/>
      <c r="AK145" s="115">
        <f t="shared" si="5"/>
        <v>43142400</v>
      </c>
      <c r="AL145" s="113"/>
      <c r="AM145" s="114">
        <v>0</v>
      </c>
      <c r="AN145" s="113">
        <v>0</v>
      </c>
      <c r="AO145" s="113">
        <v>0</v>
      </c>
      <c r="AP145" s="113">
        <f t="shared" si="2"/>
        <v>0</v>
      </c>
      <c r="AQ145" s="113">
        <f t="shared" si="11"/>
        <v>43142400</v>
      </c>
      <c r="AR145" s="63"/>
      <c r="AS145" s="63"/>
      <c r="AT145" s="63"/>
      <c r="AU145" s="63"/>
      <c r="AV145" s="120"/>
      <c r="AW145" s="121"/>
      <c r="AX145" s="63"/>
      <c r="AY145" s="63"/>
      <c r="AZ145" s="63"/>
      <c r="BA145" s="63"/>
      <c r="BB145" s="111"/>
      <c r="BC145" s="111"/>
      <c r="BD145" s="118">
        <v>0.01</v>
      </c>
      <c r="BE145" s="113">
        <f t="shared" si="14"/>
        <v>7040600</v>
      </c>
    </row>
    <row r="146" spans="1:57">
      <c r="A146" s="63">
        <v>143</v>
      </c>
      <c r="B146" s="109">
        <v>46127</v>
      </c>
      <c r="C146" s="110">
        <v>1</v>
      </c>
      <c r="D146" s="64" t="s">
        <v>138</v>
      </c>
      <c r="E146" s="64" t="s">
        <v>190</v>
      </c>
      <c r="F146" s="63" t="s">
        <v>820</v>
      </c>
      <c r="G146" s="64" t="s">
        <v>821</v>
      </c>
      <c r="H146" s="63" t="s">
        <v>117</v>
      </c>
      <c r="I146" s="64" t="s">
        <v>53</v>
      </c>
      <c r="J146" s="64"/>
      <c r="K146" s="126" t="s">
        <v>117</v>
      </c>
      <c r="L146" s="64" t="s">
        <v>822</v>
      </c>
      <c r="M146" s="64" t="s">
        <v>107</v>
      </c>
      <c r="N146" s="64"/>
      <c r="O146" s="127">
        <v>0</v>
      </c>
      <c r="P146" s="128">
        <v>819000000</v>
      </c>
      <c r="Q146" s="128">
        <v>49140000</v>
      </c>
      <c r="R146" s="208"/>
      <c r="S146" s="113"/>
      <c r="T146" s="114">
        <v>24570000</v>
      </c>
      <c r="U146" s="138">
        <v>0.05</v>
      </c>
      <c r="V146" s="116"/>
      <c r="W146" s="113"/>
      <c r="X146" s="113">
        <v>704340000</v>
      </c>
      <c r="Y146" s="113">
        <v>704340000</v>
      </c>
      <c r="Z146" s="113">
        <f t="shared" si="12"/>
        <v>0</v>
      </c>
      <c r="AA146" s="113">
        <v>704340000</v>
      </c>
      <c r="AB146" s="113">
        <v>786240000</v>
      </c>
      <c r="AC146" s="117"/>
      <c r="AD146" s="118">
        <v>0.04</v>
      </c>
      <c r="AE146" s="118"/>
      <c r="AF146" s="119">
        <v>0</v>
      </c>
      <c r="AG146" s="63"/>
      <c r="AH146" s="118">
        <v>0.04</v>
      </c>
      <c r="AI146" s="63"/>
      <c r="AJ146" s="123">
        <v>2.5000000000000001E-2</v>
      </c>
      <c r="AK146" s="115">
        <f t="shared" si="5"/>
        <v>89598600</v>
      </c>
      <c r="AL146" s="113"/>
      <c r="AM146" s="114">
        <v>0</v>
      </c>
      <c r="AN146" s="113">
        <v>0</v>
      </c>
      <c r="AO146" s="113">
        <v>15000000</v>
      </c>
      <c r="AP146" s="113">
        <f t="shared" si="2"/>
        <v>7500000</v>
      </c>
      <c r="AQ146" s="113">
        <f t="shared" si="11"/>
        <v>97098600</v>
      </c>
      <c r="AR146" s="63"/>
      <c r="AS146" s="63"/>
      <c r="AT146" s="63"/>
      <c r="AU146" s="63"/>
      <c r="AV146" s="120" t="s">
        <v>823</v>
      </c>
      <c r="AW146" s="121"/>
      <c r="AX146" s="63"/>
      <c r="AY146" s="63"/>
      <c r="AZ146" s="63"/>
      <c r="BA146" s="63"/>
      <c r="BB146" s="122">
        <v>6972966</v>
      </c>
      <c r="BC146" s="111"/>
      <c r="BD146" s="118">
        <v>0.01</v>
      </c>
      <c r="BE146" s="113">
        <f t="shared" si="14"/>
        <v>7043400</v>
      </c>
    </row>
    <row r="147" spans="1:57">
      <c r="A147" s="63">
        <v>144</v>
      </c>
      <c r="B147" s="109">
        <v>46127</v>
      </c>
      <c r="C147" s="110">
        <v>1</v>
      </c>
      <c r="D147" s="64" t="s">
        <v>138</v>
      </c>
      <c r="E147" s="64" t="s">
        <v>186</v>
      </c>
      <c r="F147" s="63" t="s">
        <v>824</v>
      </c>
      <c r="G147" s="64" t="s">
        <v>825</v>
      </c>
      <c r="H147" s="63" t="s">
        <v>167</v>
      </c>
      <c r="I147" s="64" t="s">
        <v>140</v>
      </c>
      <c r="J147" s="64"/>
      <c r="K147" s="126" t="s">
        <v>119</v>
      </c>
      <c r="L147" s="64" t="s">
        <v>826</v>
      </c>
      <c r="M147" s="64" t="s">
        <v>107</v>
      </c>
      <c r="N147" s="64"/>
      <c r="O147" s="127">
        <v>0</v>
      </c>
      <c r="P147" s="128">
        <v>529000000</v>
      </c>
      <c r="Q147" s="128">
        <v>31740000</v>
      </c>
      <c r="R147" s="208"/>
      <c r="S147" s="113"/>
      <c r="T147" s="114"/>
      <c r="U147" s="115"/>
      <c r="V147" s="116"/>
      <c r="W147" s="113"/>
      <c r="X147" s="113">
        <v>497260000</v>
      </c>
      <c r="Y147" s="113">
        <v>497260000</v>
      </c>
      <c r="Z147" s="113">
        <f t="shared" si="12"/>
        <v>0</v>
      </c>
      <c r="AA147" s="113">
        <v>497260000</v>
      </c>
      <c r="AB147" s="113">
        <v>507840000</v>
      </c>
      <c r="AC147" s="117"/>
      <c r="AD147" s="118">
        <v>0.04</v>
      </c>
      <c r="AE147" s="118"/>
      <c r="AF147" s="119">
        <v>0</v>
      </c>
      <c r="AG147" s="63"/>
      <c r="AH147" s="118">
        <v>0.04</v>
      </c>
      <c r="AI147" s="63"/>
      <c r="AJ147" s="123"/>
      <c r="AK147" s="115">
        <f t="shared" si="5"/>
        <v>30470400</v>
      </c>
      <c r="AL147" s="113"/>
      <c r="AM147" s="114">
        <v>0</v>
      </c>
      <c r="AN147" s="113">
        <v>0</v>
      </c>
      <c r="AO147" s="113">
        <v>0</v>
      </c>
      <c r="AP147" s="113">
        <f t="shared" si="2"/>
        <v>0</v>
      </c>
      <c r="AQ147" s="113">
        <f t="shared" si="11"/>
        <v>30470400</v>
      </c>
      <c r="AR147" s="63"/>
      <c r="AS147" s="63"/>
      <c r="AT147" s="63"/>
      <c r="AU147" s="63"/>
      <c r="AV147" s="120"/>
      <c r="AW147" s="121"/>
      <c r="AX147" s="63"/>
      <c r="AY147" s="63"/>
      <c r="AZ147" s="63"/>
      <c r="BA147" s="63"/>
      <c r="BB147" s="111"/>
      <c r="BC147" s="111"/>
      <c r="BD147" s="118">
        <v>0.01</v>
      </c>
      <c r="BE147" s="113">
        <f t="shared" si="14"/>
        <v>4972600</v>
      </c>
    </row>
    <row r="148" spans="1:57">
      <c r="A148" s="63">
        <v>145</v>
      </c>
      <c r="B148" s="109">
        <v>46127</v>
      </c>
      <c r="C148" s="110">
        <v>1</v>
      </c>
      <c r="D148" s="64" t="s">
        <v>138</v>
      </c>
      <c r="E148" s="64" t="s">
        <v>139</v>
      </c>
      <c r="F148" s="63" t="s">
        <v>827</v>
      </c>
      <c r="G148" s="64" t="s">
        <v>828</v>
      </c>
      <c r="H148" s="63" t="s">
        <v>155</v>
      </c>
      <c r="I148" s="64" t="s">
        <v>140</v>
      </c>
      <c r="J148" s="64"/>
      <c r="K148" s="126" t="s">
        <v>106</v>
      </c>
      <c r="L148" s="64" t="s">
        <v>829</v>
      </c>
      <c r="M148" s="64" t="s">
        <v>107</v>
      </c>
      <c r="N148" s="64"/>
      <c r="O148" s="127">
        <v>0</v>
      </c>
      <c r="P148" s="128">
        <v>315000000</v>
      </c>
      <c r="Q148" s="128">
        <v>18900000</v>
      </c>
      <c r="R148" s="208"/>
      <c r="S148" s="113"/>
      <c r="T148" s="114">
        <v>9450000</v>
      </c>
      <c r="U148" s="115"/>
      <c r="V148" s="116"/>
      <c r="W148" s="113"/>
      <c r="X148" s="113">
        <v>286650000</v>
      </c>
      <c r="Y148" s="113">
        <v>286650000</v>
      </c>
      <c r="Z148" s="113">
        <f t="shared" si="12"/>
        <v>0</v>
      </c>
      <c r="AA148" s="113">
        <v>286650000</v>
      </c>
      <c r="AB148" s="113">
        <v>302400000</v>
      </c>
      <c r="AC148" s="117"/>
      <c r="AD148" s="118">
        <v>0.04</v>
      </c>
      <c r="AE148" s="118"/>
      <c r="AF148" s="119">
        <v>0</v>
      </c>
      <c r="AG148" s="63"/>
      <c r="AH148" s="118">
        <v>0.04</v>
      </c>
      <c r="AI148" s="63"/>
      <c r="AJ148" s="123"/>
      <c r="AK148" s="115">
        <f t="shared" si="5"/>
        <v>27216000</v>
      </c>
      <c r="AL148" s="113"/>
      <c r="AM148" s="114">
        <v>0</v>
      </c>
      <c r="AN148" s="113">
        <v>0</v>
      </c>
      <c r="AO148" s="113">
        <v>0</v>
      </c>
      <c r="AP148" s="113">
        <f t="shared" si="2"/>
        <v>0</v>
      </c>
      <c r="AQ148" s="113">
        <f t="shared" si="11"/>
        <v>27216000</v>
      </c>
      <c r="AR148" s="63"/>
      <c r="AS148" s="63"/>
      <c r="AT148" s="63"/>
      <c r="AU148" s="63"/>
      <c r="AV148" s="120"/>
      <c r="AW148" s="121"/>
      <c r="AX148" s="63"/>
      <c r="AY148" s="63"/>
      <c r="AZ148" s="63"/>
      <c r="BA148" s="63"/>
      <c r="BB148" s="111"/>
      <c r="BC148" s="111"/>
      <c r="BD148" s="118">
        <v>0.01</v>
      </c>
      <c r="BE148" s="113">
        <f t="shared" si="14"/>
        <v>2866500</v>
      </c>
    </row>
    <row r="149" spans="1:57">
      <c r="A149" s="63">
        <v>146</v>
      </c>
      <c r="B149" s="109">
        <v>46127</v>
      </c>
      <c r="C149" s="110">
        <v>1</v>
      </c>
      <c r="D149" s="64" t="s">
        <v>138</v>
      </c>
      <c r="E149" s="64" t="s">
        <v>146</v>
      </c>
      <c r="F149" s="63" t="s">
        <v>830</v>
      </c>
      <c r="G149" s="64" t="s">
        <v>831</v>
      </c>
      <c r="H149" s="63" t="s">
        <v>52</v>
      </c>
      <c r="I149" s="64" t="s">
        <v>114</v>
      </c>
      <c r="J149" s="64"/>
      <c r="K149" s="126" t="s">
        <v>114</v>
      </c>
      <c r="L149" s="64" t="s">
        <v>832</v>
      </c>
      <c r="M149" s="64" t="s">
        <v>107</v>
      </c>
      <c r="N149" s="64"/>
      <c r="O149" s="127">
        <v>0</v>
      </c>
      <c r="P149" s="128">
        <v>749000000</v>
      </c>
      <c r="Q149" s="128">
        <v>44940000</v>
      </c>
      <c r="R149" s="208"/>
      <c r="S149" s="113"/>
      <c r="T149" s="114"/>
      <c r="U149" s="115"/>
      <c r="V149" s="116"/>
      <c r="W149" s="116">
        <v>12000000</v>
      </c>
      <c r="X149" s="113">
        <v>692060000</v>
      </c>
      <c r="Y149" s="113">
        <v>692060000</v>
      </c>
      <c r="Z149" s="113">
        <f t="shared" si="12"/>
        <v>0</v>
      </c>
      <c r="AA149" s="113">
        <v>704060000</v>
      </c>
      <c r="AB149" s="113">
        <v>719040000</v>
      </c>
      <c r="AC149" s="117"/>
      <c r="AD149" s="118">
        <v>0.04</v>
      </c>
      <c r="AE149" s="118"/>
      <c r="AF149" s="119">
        <v>0</v>
      </c>
      <c r="AG149" s="63"/>
      <c r="AH149" s="118">
        <v>0.04</v>
      </c>
      <c r="AI149" s="63"/>
      <c r="AJ149" s="123"/>
      <c r="AK149" s="115">
        <f t="shared" si="5"/>
        <v>43142400</v>
      </c>
      <c r="AL149" s="113"/>
      <c r="AM149" s="114">
        <v>0</v>
      </c>
      <c r="AN149" s="113">
        <v>0</v>
      </c>
      <c r="AO149" s="113">
        <v>10000000</v>
      </c>
      <c r="AP149" s="113">
        <f t="shared" si="2"/>
        <v>5000000</v>
      </c>
      <c r="AQ149" s="113">
        <f t="shared" si="11"/>
        <v>48142400</v>
      </c>
      <c r="AR149" s="63"/>
      <c r="AS149" s="63"/>
      <c r="AT149" s="63"/>
      <c r="AU149" s="63"/>
      <c r="AV149" s="120"/>
      <c r="AW149" s="121"/>
      <c r="AX149" s="63"/>
      <c r="AY149" s="63"/>
      <c r="AZ149" s="63"/>
      <c r="BA149" s="63"/>
      <c r="BB149" s="111"/>
      <c r="BC149" s="111"/>
      <c r="BD149" s="118">
        <v>0.01</v>
      </c>
      <c r="BE149" s="113">
        <f t="shared" si="14"/>
        <v>7040600</v>
      </c>
    </row>
    <row r="150" spans="1:57">
      <c r="A150" s="63">
        <v>147</v>
      </c>
      <c r="B150" s="109">
        <v>46127</v>
      </c>
      <c r="C150" s="110">
        <v>1</v>
      </c>
      <c r="D150" s="64" t="s">
        <v>138</v>
      </c>
      <c r="E150" s="64" t="s">
        <v>187</v>
      </c>
      <c r="F150" s="63" t="s">
        <v>833</v>
      </c>
      <c r="G150" s="64" t="s">
        <v>834</v>
      </c>
      <c r="H150" s="63" t="s">
        <v>52</v>
      </c>
      <c r="I150" s="64" t="s">
        <v>114</v>
      </c>
      <c r="J150" s="64"/>
      <c r="K150" s="126" t="s">
        <v>114</v>
      </c>
      <c r="L150" s="64" t="s">
        <v>835</v>
      </c>
      <c r="M150" s="64" t="s">
        <v>107</v>
      </c>
      <c r="N150" s="64"/>
      <c r="O150" s="127">
        <v>0</v>
      </c>
      <c r="P150" s="128">
        <v>749000000</v>
      </c>
      <c r="Q150" s="128">
        <v>44940000</v>
      </c>
      <c r="R150" s="208"/>
      <c r="S150" s="113"/>
      <c r="T150" s="114"/>
      <c r="U150" s="115"/>
      <c r="V150" s="116"/>
      <c r="W150" s="113"/>
      <c r="X150" s="113">
        <v>704060000</v>
      </c>
      <c r="Y150" s="113">
        <v>704060000</v>
      </c>
      <c r="Z150" s="113">
        <f t="shared" si="12"/>
        <v>0</v>
      </c>
      <c r="AA150" s="113">
        <v>704060000</v>
      </c>
      <c r="AB150" s="113">
        <v>719040000</v>
      </c>
      <c r="AC150" s="117"/>
      <c r="AD150" s="118">
        <v>0.04</v>
      </c>
      <c r="AE150" s="118"/>
      <c r="AF150" s="119">
        <v>0</v>
      </c>
      <c r="AG150" s="63"/>
      <c r="AH150" s="118">
        <v>0.04</v>
      </c>
      <c r="AI150" s="63"/>
      <c r="AJ150" s="123"/>
      <c r="AK150" s="115">
        <f t="shared" si="5"/>
        <v>43142400</v>
      </c>
      <c r="AL150" s="113"/>
      <c r="AM150" s="114">
        <v>0</v>
      </c>
      <c r="AN150" s="113">
        <v>0</v>
      </c>
      <c r="AO150" s="113">
        <v>0</v>
      </c>
      <c r="AP150" s="113">
        <f t="shared" si="2"/>
        <v>0</v>
      </c>
      <c r="AQ150" s="113">
        <f t="shared" si="11"/>
        <v>43142400</v>
      </c>
      <c r="AR150" s="63"/>
      <c r="AS150" s="63"/>
      <c r="AT150" s="63"/>
      <c r="AU150" s="63"/>
      <c r="AV150" s="120"/>
      <c r="AW150" s="121"/>
      <c r="AX150" s="63"/>
      <c r="AY150" s="63"/>
      <c r="AZ150" s="63"/>
      <c r="BA150" s="63"/>
      <c r="BB150" s="111"/>
      <c r="BC150" s="111"/>
      <c r="BD150" s="118">
        <v>0.01</v>
      </c>
      <c r="BE150" s="113">
        <f t="shared" si="14"/>
        <v>7040600</v>
      </c>
    </row>
    <row r="151" spans="1:57" ht="15.5">
      <c r="A151" s="63">
        <v>148</v>
      </c>
      <c r="B151" s="109">
        <v>46127</v>
      </c>
      <c r="C151" s="110">
        <v>1</v>
      </c>
      <c r="D151" s="64" t="s">
        <v>138</v>
      </c>
      <c r="E151" s="64" t="s">
        <v>142</v>
      </c>
      <c r="F151" s="63" t="s">
        <v>836</v>
      </c>
      <c r="G151" s="64" t="s">
        <v>837</v>
      </c>
      <c r="H151" s="63" t="s">
        <v>52</v>
      </c>
      <c r="I151" s="64" t="s">
        <v>114</v>
      </c>
      <c r="J151" s="64"/>
      <c r="K151" s="126" t="s">
        <v>114</v>
      </c>
      <c r="L151" s="64" t="s">
        <v>838</v>
      </c>
      <c r="M151" s="64" t="s">
        <v>107</v>
      </c>
      <c r="N151" s="64"/>
      <c r="O151" s="127">
        <v>0</v>
      </c>
      <c r="P151" s="128">
        <v>749000000</v>
      </c>
      <c r="Q151" s="128">
        <v>44940000</v>
      </c>
      <c r="R151" s="208"/>
      <c r="S151" s="113"/>
      <c r="T151" s="114">
        <v>22470000</v>
      </c>
      <c r="U151" s="115"/>
      <c r="V151" s="116"/>
      <c r="W151" s="116">
        <v>12000000</v>
      </c>
      <c r="X151" s="113">
        <v>669590000</v>
      </c>
      <c r="Y151" s="113">
        <v>669590000</v>
      </c>
      <c r="Z151" s="113">
        <f t="shared" si="12"/>
        <v>0</v>
      </c>
      <c r="AA151" s="113">
        <v>681590000</v>
      </c>
      <c r="AB151" s="113">
        <v>719040000</v>
      </c>
      <c r="AC151" s="117"/>
      <c r="AD151" s="118">
        <v>0.04</v>
      </c>
      <c r="AE151" s="118"/>
      <c r="AF151" s="119">
        <v>0</v>
      </c>
      <c r="AG151" s="63"/>
      <c r="AH151" s="118">
        <v>0.04</v>
      </c>
      <c r="AI151" s="63"/>
      <c r="AJ151" s="123"/>
      <c r="AK151" s="115">
        <f t="shared" si="5"/>
        <v>64713600</v>
      </c>
      <c r="AL151" s="113"/>
      <c r="AM151" s="114">
        <v>0</v>
      </c>
      <c r="AN151" s="113">
        <v>0</v>
      </c>
      <c r="AO151" s="113">
        <v>0</v>
      </c>
      <c r="AP151" s="113">
        <f t="shared" si="2"/>
        <v>0</v>
      </c>
      <c r="AQ151" s="113">
        <f t="shared" si="11"/>
        <v>64713600</v>
      </c>
      <c r="AR151" s="63"/>
      <c r="AS151" s="63"/>
      <c r="AT151" s="63"/>
      <c r="AU151" s="63"/>
      <c r="AV151" s="120" t="s">
        <v>839</v>
      </c>
      <c r="AW151" s="121"/>
      <c r="AX151" s="122"/>
      <c r="AY151" s="163"/>
      <c r="AZ151" s="63"/>
      <c r="BA151" s="63"/>
      <c r="BB151" s="164">
        <v>9374260</v>
      </c>
      <c r="BC151" s="161"/>
      <c r="BD151" s="118">
        <v>0.01</v>
      </c>
      <c r="BE151" s="113">
        <f t="shared" si="14"/>
        <v>6815900</v>
      </c>
    </row>
    <row r="152" spans="1:57">
      <c r="A152" s="63">
        <v>149</v>
      </c>
      <c r="B152" s="109">
        <v>46127</v>
      </c>
      <c r="C152" s="110">
        <v>1</v>
      </c>
      <c r="D152" s="64" t="s">
        <v>138</v>
      </c>
      <c r="E152" s="64" t="s">
        <v>145</v>
      </c>
      <c r="F152" s="63" t="s">
        <v>840</v>
      </c>
      <c r="G152" s="64" t="s">
        <v>841</v>
      </c>
      <c r="H152" s="63" t="s">
        <v>52</v>
      </c>
      <c r="I152" s="64" t="s">
        <v>114</v>
      </c>
      <c r="J152" s="64"/>
      <c r="K152" s="126" t="s">
        <v>114</v>
      </c>
      <c r="L152" s="64" t="s">
        <v>842</v>
      </c>
      <c r="M152" s="64" t="s">
        <v>103</v>
      </c>
      <c r="N152" s="64"/>
      <c r="O152" s="127">
        <v>0</v>
      </c>
      <c r="P152" s="128">
        <v>749000000</v>
      </c>
      <c r="Q152" s="128">
        <v>44940000</v>
      </c>
      <c r="R152" s="208"/>
      <c r="S152" s="113"/>
      <c r="T152" s="114"/>
      <c r="U152" s="115"/>
      <c r="V152" s="116"/>
      <c r="W152" s="116">
        <v>10000000</v>
      </c>
      <c r="X152" s="113">
        <v>694060000</v>
      </c>
      <c r="Y152" s="113">
        <v>694060000</v>
      </c>
      <c r="Z152" s="113">
        <f t="shared" si="12"/>
        <v>0</v>
      </c>
      <c r="AA152" s="113">
        <v>704060000</v>
      </c>
      <c r="AB152" s="113">
        <v>719040000</v>
      </c>
      <c r="AC152" s="117"/>
      <c r="AD152" s="118">
        <v>0.04</v>
      </c>
      <c r="AE152" s="118"/>
      <c r="AF152" s="119">
        <v>0</v>
      </c>
      <c r="AG152" s="63"/>
      <c r="AH152" s="118">
        <v>0.04</v>
      </c>
      <c r="AI152" s="63"/>
      <c r="AJ152" s="123"/>
      <c r="AK152" s="115">
        <f t="shared" si="5"/>
        <v>43142400</v>
      </c>
      <c r="AL152" s="113"/>
      <c r="AM152" s="114">
        <v>0</v>
      </c>
      <c r="AN152" s="113">
        <v>0</v>
      </c>
      <c r="AO152" s="113">
        <v>0</v>
      </c>
      <c r="AP152" s="113">
        <f t="shared" si="2"/>
        <v>0</v>
      </c>
      <c r="AQ152" s="113">
        <f t="shared" si="11"/>
        <v>43142400</v>
      </c>
      <c r="AR152" s="63"/>
      <c r="AS152" s="63"/>
      <c r="AT152" s="63"/>
      <c r="AU152" s="63"/>
      <c r="AV152" s="120"/>
      <c r="AW152" s="121"/>
      <c r="AX152" s="63"/>
      <c r="AY152" s="63"/>
      <c r="AZ152" s="63"/>
      <c r="BA152" s="63"/>
      <c r="BB152" s="111"/>
      <c r="BC152" s="111"/>
      <c r="BD152" s="160">
        <v>0.01</v>
      </c>
      <c r="BE152" s="113">
        <f t="shared" si="14"/>
        <v>7040600</v>
      </c>
    </row>
    <row r="153" spans="1:57">
      <c r="A153" s="63">
        <v>150</v>
      </c>
      <c r="B153" s="109">
        <v>46127</v>
      </c>
      <c r="C153" s="110">
        <v>4</v>
      </c>
      <c r="D153" s="64" t="s">
        <v>100</v>
      </c>
      <c r="E153" s="64" t="s">
        <v>179</v>
      </c>
      <c r="F153" s="63" t="s">
        <v>843</v>
      </c>
      <c r="G153" s="64" t="s">
        <v>844</v>
      </c>
      <c r="H153" s="63" t="s">
        <v>155</v>
      </c>
      <c r="I153" s="64" t="s">
        <v>162</v>
      </c>
      <c r="J153" s="64"/>
      <c r="K153" s="126" t="s">
        <v>108</v>
      </c>
      <c r="L153" s="64" t="s">
        <v>845</v>
      </c>
      <c r="M153" s="64" t="s">
        <v>120</v>
      </c>
      <c r="N153" s="64"/>
      <c r="O153" s="127">
        <v>46141</v>
      </c>
      <c r="P153" s="128">
        <v>302000000</v>
      </c>
      <c r="Q153" s="128">
        <v>18120000</v>
      </c>
      <c r="R153" s="208"/>
      <c r="S153" s="113"/>
      <c r="T153" s="114"/>
      <c r="U153" s="115"/>
      <c r="V153" s="116"/>
      <c r="W153" s="113"/>
      <c r="X153" s="113">
        <v>283880000</v>
      </c>
      <c r="Y153" s="113">
        <v>283880000</v>
      </c>
      <c r="Z153" s="113">
        <f t="shared" si="12"/>
        <v>0</v>
      </c>
      <c r="AA153" s="113">
        <v>283880000</v>
      </c>
      <c r="AB153" s="113">
        <v>289920000</v>
      </c>
      <c r="AC153" s="117"/>
      <c r="AD153" s="118">
        <v>0.04</v>
      </c>
      <c r="AE153" s="118"/>
      <c r="AF153" s="119">
        <v>0</v>
      </c>
      <c r="AG153" s="63"/>
      <c r="AH153" s="118">
        <v>0.04</v>
      </c>
      <c r="AI153" s="63"/>
      <c r="AJ153" s="123"/>
      <c r="AK153" s="115">
        <f t="shared" si="5"/>
        <v>17395200</v>
      </c>
      <c r="AL153" s="113"/>
      <c r="AM153" s="114">
        <v>0</v>
      </c>
      <c r="AN153" s="113">
        <v>0</v>
      </c>
      <c r="AO153" s="113">
        <v>0</v>
      </c>
      <c r="AP153" s="113">
        <f t="shared" si="2"/>
        <v>0</v>
      </c>
      <c r="AQ153" s="113">
        <f t="shared" si="11"/>
        <v>17395200</v>
      </c>
      <c r="AR153" s="63"/>
      <c r="AS153" s="63"/>
      <c r="AT153" s="63"/>
      <c r="AU153" s="63"/>
      <c r="AV153" s="120" t="s">
        <v>336</v>
      </c>
      <c r="AW153" s="121"/>
      <c r="AX153" s="63"/>
      <c r="AY153" s="63"/>
      <c r="AZ153" s="63"/>
      <c r="BA153" s="63"/>
      <c r="BB153" s="111"/>
      <c r="BC153" s="111"/>
      <c r="BD153" s="123"/>
      <c r="BE153" s="113"/>
    </row>
    <row r="154" spans="1:57">
      <c r="A154" s="63">
        <v>151</v>
      </c>
      <c r="B154" s="109">
        <v>46127</v>
      </c>
      <c r="C154" s="110">
        <v>1</v>
      </c>
      <c r="D154" s="64" t="s">
        <v>104</v>
      </c>
      <c r="E154" s="64" t="s">
        <v>466</v>
      </c>
      <c r="F154" s="63" t="s">
        <v>846</v>
      </c>
      <c r="G154" s="64" t="s">
        <v>847</v>
      </c>
      <c r="H154" s="63" t="s">
        <v>52</v>
      </c>
      <c r="I154" s="64" t="s">
        <v>172</v>
      </c>
      <c r="J154" s="64"/>
      <c r="K154" s="126" t="s">
        <v>114</v>
      </c>
      <c r="L154" s="127" t="s">
        <v>848</v>
      </c>
      <c r="M154" s="64" t="s">
        <v>120</v>
      </c>
      <c r="N154" s="64"/>
      <c r="O154" s="127">
        <v>0</v>
      </c>
      <c r="P154" s="128">
        <v>749000000</v>
      </c>
      <c r="Q154" s="128">
        <v>44940000</v>
      </c>
      <c r="R154" s="208"/>
      <c r="S154" s="113"/>
      <c r="T154" s="114"/>
      <c r="U154" s="115"/>
      <c r="V154" s="116"/>
      <c r="W154" s="116">
        <v>12000000</v>
      </c>
      <c r="X154" s="113">
        <v>692060000</v>
      </c>
      <c r="Y154" s="113">
        <v>692060000</v>
      </c>
      <c r="Z154" s="113">
        <f t="shared" si="12"/>
        <v>0</v>
      </c>
      <c r="AA154" s="113">
        <v>704060000</v>
      </c>
      <c r="AB154" s="113">
        <v>719040000</v>
      </c>
      <c r="AC154" s="117"/>
      <c r="AD154" s="118">
        <v>0.04</v>
      </c>
      <c r="AE154" s="118"/>
      <c r="AF154" s="119">
        <v>0</v>
      </c>
      <c r="AG154" s="63"/>
      <c r="AH154" s="118">
        <v>0.04</v>
      </c>
      <c r="AI154" s="63"/>
      <c r="AJ154" s="123"/>
      <c r="AK154" s="115">
        <f t="shared" si="5"/>
        <v>43142400</v>
      </c>
      <c r="AL154" s="113"/>
      <c r="AM154" s="114">
        <v>0</v>
      </c>
      <c r="AN154" s="113">
        <v>0</v>
      </c>
      <c r="AO154" s="113">
        <v>0</v>
      </c>
      <c r="AP154" s="113">
        <f t="shared" si="2"/>
        <v>0</v>
      </c>
      <c r="AQ154" s="113">
        <f t="shared" si="11"/>
        <v>43142400</v>
      </c>
      <c r="AR154" s="63"/>
      <c r="AS154" s="63"/>
      <c r="AT154" s="63"/>
      <c r="AU154" s="63"/>
      <c r="AV154" s="120"/>
      <c r="AW154" s="121"/>
      <c r="AX154" s="63"/>
      <c r="AY154" s="63"/>
      <c r="AZ154" s="63"/>
      <c r="BA154" s="63"/>
      <c r="BB154" s="111"/>
      <c r="BC154" s="111"/>
      <c r="BD154" s="123"/>
      <c r="BE154" s="113"/>
    </row>
    <row r="155" spans="1:57">
      <c r="A155" s="63">
        <v>152</v>
      </c>
      <c r="B155" s="109">
        <v>46127</v>
      </c>
      <c r="C155" s="110">
        <v>1</v>
      </c>
      <c r="D155" s="64" t="s">
        <v>104</v>
      </c>
      <c r="E155" s="64" t="s">
        <v>129</v>
      </c>
      <c r="F155" s="63" t="s">
        <v>849</v>
      </c>
      <c r="G155" s="64" t="s">
        <v>850</v>
      </c>
      <c r="H155" s="63" t="s">
        <v>155</v>
      </c>
      <c r="I155" s="64" t="s">
        <v>105</v>
      </c>
      <c r="J155" s="64"/>
      <c r="K155" s="126" t="s">
        <v>106</v>
      </c>
      <c r="L155" s="64" t="s">
        <v>851</v>
      </c>
      <c r="M155" s="64" t="s">
        <v>120</v>
      </c>
      <c r="N155" s="64"/>
      <c r="O155" s="127">
        <v>0</v>
      </c>
      <c r="P155" s="128">
        <v>315000000</v>
      </c>
      <c r="Q155" s="128"/>
      <c r="R155" s="208">
        <v>7.0000000000000007E-2</v>
      </c>
      <c r="S155" s="113"/>
      <c r="T155" s="114"/>
      <c r="U155" s="115"/>
      <c r="V155" s="116"/>
      <c r="W155" s="116">
        <v>6000000</v>
      </c>
      <c r="X155" s="113">
        <v>309000000</v>
      </c>
      <c r="Y155" s="113">
        <v>309000000</v>
      </c>
      <c r="Z155" s="113">
        <f t="shared" si="12"/>
        <v>0</v>
      </c>
      <c r="AA155" s="113">
        <v>315000000</v>
      </c>
      <c r="AB155" s="113">
        <v>302400000</v>
      </c>
      <c r="AC155" s="117"/>
      <c r="AD155" s="118">
        <v>0.04</v>
      </c>
      <c r="AE155" s="118"/>
      <c r="AF155" s="119">
        <v>0</v>
      </c>
      <c r="AG155" s="63"/>
      <c r="AH155" s="118">
        <v>0.04</v>
      </c>
      <c r="AI155" s="63"/>
      <c r="AJ155" s="123"/>
      <c r="AK155" s="115">
        <f t="shared" si="5"/>
        <v>0</v>
      </c>
      <c r="AL155" s="113"/>
      <c r="AM155" s="114">
        <v>0</v>
      </c>
      <c r="AN155" s="113">
        <v>0</v>
      </c>
      <c r="AO155" s="113">
        <v>0</v>
      </c>
      <c r="AP155" s="113">
        <f t="shared" si="2"/>
        <v>0</v>
      </c>
      <c r="AQ155" s="113">
        <f t="shared" si="11"/>
        <v>0</v>
      </c>
      <c r="AR155" s="63"/>
      <c r="AS155" s="63"/>
      <c r="AT155" s="63"/>
      <c r="AU155" s="63"/>
      <c r="AV155" s="120"/>
      <c r="AW155" s="121"/>
      <c r="AX155" s="63"/>
      <c r="AY155" s="63"/>
      <c r="AZ155" s="63"/>
      <c r="BA155" s="63"/>
      <c r="BB155" s="111"/>
      <c r="BC155" s="111"/>
      <c r="BD155" s="123"/>
      <c r="BE155" s="113"/>
    </row>
    <row r="156" spans="1:57">
      <c r="A156" s="63">
        <v>153</v>
      </c>
      <c r="B156" s="109">
        <v>46127</v>
      </c>
      <c r="C156" s="110">
        <v>4</v>
      </c>
      <c r="D156" s="64" t="s">
        <v>112</v>
      </c>
      <c r="E156" s="64" t="s">
        <v>175</v>
      </c>
      <c r="F156" s="63" t="s">
        <v>852</v>
      </c>
      <c r="G156" s="64" t="s">
        <v>853</v>
      </c>
      <c r="H156" s="63" t="s">
        <v>117</v>
      </c>
      <c r="I156" s="64" t="s">
        <v>53</v>
      </c>
      <c r="J156" s="64"/>
      <c r="K156" s="126" t="s">
        <v>117</v>
      </c>
      <c r="L156" s="64" t="s">
        <v>854</v>
      </c>
      <c r="M156" s="64" t="s">
        <v>103</v>
      </c>
      <c r="N156" s="64"/>
      <c r="O156" s="127">
        <v>46133</v>
      </c>
      <c r="P156" s="128">
        <v>819000000</v>
      </c>
      <c r="Q156" s="128">
        <v>49140000</v>
      </c>
      <c r="R156" s="208"/>
      <c r="S156" s="113"/>
      <c r="T156" s="114">
        <v>24570000</v>
      </c>
      <c r="U156" s="115"/>
      <c r="V156" s="116"/>
      <c r="W156" s="113"/>
      <c r="X156" s="113">
        <v>745290000</v>
      </c>
      <c r="Y156" s="113">
        <v>745290000</v>
      </c>
      <c r="Z156" s="113">
        <f t="shared" si="12"/>
        <v>0</v>
      </c>
      <c r="AA156" s="113">
        <v>745290000</v>
      </c>
      <c r="AB156" s="113">
        <v>786240000</v>
      </c>
      <c r="AC156" s="117"/>
      <c r="AD156" s="118">
        <v>0.04</v>
      </c>
      <c r="AE156" s="118"/>
      <c r="AF156" s="119">
        <v>0</v>
      </c>
      <c r="AG156" s="63"/>
      <c r="AH156" s="118">
        <v>0.04</v>
      </c>
      <c r="AI156" s="63"/>
      <c r="AJ156" s="123"/>
      <c r="AK156" s="115">
        <f t="shared" si="5"/>
        <v>70761600</v>
      </c>
      <c r="AL156" s="113"/>
      <c r="AM156" s="114">
        <v>15000000</v>
      </c>
      <c r="AN156" s="113">
        <v>0</v>
      </c>
      <c r="AO156" s="113">
        <v>0</v>
      </c>
      <c r="AP156" s="113">
        <f t="shared" si="2"/>
        <v>0</v>
      </c>
      <c r="AQ156" s="113">
        <f t="shared" si="11"/>
        <v>85761600</v>
      </c>
      <c r="AR156" s="63"/>
      <c r="AS156" s="63"/>
      <c r="AT156" s="63"/>
      <c r="AU156" s="63"/>
      <c r="AV156" s="120"/>
      <c r="AW156" s="121" t="s">
        <v>249</v>
      </c>
      <c r="AX156" s="63"/>
      <c r="AY156" s="63"/>
      <c r="AZ156" s="63"/>
      <c r="BA156" s="142"/>
      <c r="BB156" s="111"/>
      <c r="BC156" s="111"/>
      <c r="BD156" s="123"/>
      <c r="BE156" s="113"/>
    </row>
    <row r="157" spans="1:57">
      <c r="A157" s="63">
        <v>154</v>
      </c>
      <c r="B157" s="109">
        <v>46127</v>
      </c>
      <c r="C157" s="110">
        <v>4</v>
      </c>
      <c r="D157" s="64" t="s">
        <v>112</v>
      </c>
      <c r="E157" s="64" t="s">
        <v>132</v>
      </c>
      <c r="F157" s="63" t="s">
        <v>855</v>
      </c>
      <c r="G157" s="64" t="s">
        <v>856</v>
      </c>
      <c r="H157" s="63" t="s">
        <v>117</v>
      </c>
      <c r="I157" s="64" t="s">
        <v>53</v>
      </c>
      <c r="J157" s="64"/>
      <c r="K157" s="126" t="s">
        <v>117</v>
      </c>
      <c r="L157" s="64" t="s">
        <v>857</v>
      </c>
      <c r="M157" s="64" t="s">
        <v>103</v>
      </c>
      <c r="N157" s="64"/>
      <c r="O157" s="127">
        <v>46134</v>
      </c>
      <c r="P157" s="128">
        <v>819000000</v>
      </c>
      <c r="Q157" s="128">
        <v>49140000</v>
      </c>
      <c r="R157" s="208"/>
      <c r="S157" s="113"/>
      <c r="T157" s="114"/>
      <c r="U157" s="115"/>
      <c r="V157" s="116"/>
      <c r="W157" s="116">
        <v>10000000</v>
      </c>
      <c r="X157" s="113">
        <v>759860000</v>
      </c>
      <c r="Y157" s="113">
        <v>759860000</v>
      </c>
      <c r="Z157" s="113">
        <f t="shared" si="12"/>
        <v>0</v>
      </c>
      <c r="AA157" s="113">
        <v>769860000</v>
      </c>
      <c r="AB157" s="113">
        <v>786240000</v>
      </c>
      <c r="AC157" s="117"/>
      <c r="AD157" s="118">
        <v>0.04</v>
      </c>
      <c r="AE157" s="118"/>
      <c r="AF157" s="119">
        <v>0</v>
      </c>
      <c r="AG157" s="63"/>
      <c r="AH157" s="118">
        <v>0.04</v>
      </c>
      <c r="AI157" s="63"/>
      <c r="AJ157" s="123"/>
      <c r="AK157" s="115">
        <f t="shared" si="5"/>
        <v>47174400</v>
      </c>
      <c r="AL157" s="113"/>
      <c r="AM157" s="114">
        <v>15000000</v>
      </c>
      <c r="AN157" s="113">
        <v>0</v>
      </c>
      <c r="AO157" s="113">
        <v>0</v>
      </c>
      <c r="AP157" s="113">
        <f t="shared" si="2"/>
        <v>0</v>
      </c>
      <c r="AQ157" s="113">
        <f t="shared" si="11"/>
        <v>62174400</v>
      </c>
      <c r="AR157" s="63"/>
      <c r="AS157" s="63"/>
      <c r="AT157" s="63"/>
      <c r="AU157" s="63"/>
      <c r="AV157" s="144" t="s">
        <v>383</v>
      </c>
      <c r="AW157" s="121" t="s">
        <v>249</v>
      </c>
      <c r="AX157" s="63"/>
      <c r="AY157" s="63"/>
      <c r="AZ157" s="63"/>
      <c r="BA157" s="142"/>
      <c r="BB157" s="111"/>
      <c r="BC157" s="111"/>
      <c r="BD157" s="123"/>
      <c r="BE157" s="113"/>
    </row>
    <row r="158" spans="1:57">
      <c r="A158" s="63">
        <v>155</v>
      </c>
      <c r="B158" s="109">
        <v>46127</v>
      </c>
      <c r="C158" s="110">
        <v>4</v>
      </c>
      <c r="D158" s="64" t="s">
        <v>112</v>
      </c>
      <c r="E158" s="64" t="s">
        <v>157</v>
      </c>
      <c r="F158" s="63" t="s">
        <v>858</v>
      </c>
      <c r="G158" s="64" t="s">
        <v>859</v>
      </c>
      <c r="H158" s="63" t="s">
        <v>52</v>
      </c>
      <c r="I158" s="64" t="s">
        <v>52</v>
      </c>
      <c r="J158" s="64"/>
      <c r="K158" s="126" t="s">
        <v>114</v>
      </c>
      <c r="L158" s="64" t="s">
        <v>860</v>
      </c>
      <c r="M158" s="64" t="s">
        <v>107</v>
      </c>
      <c r="N158" s="64"/>
      <c r="O158" s="127">
        <v>46134</v>
      </c>
      <c r="P158" s="128">
        <v>749000000</v>
      </c>
      <c r="Q158" s="128">
        <v>44940000</v>
      </c>
      <c r="R158" s="208"/>
      <c r="S158" s="113"/>
      <c r="T158" s="114">
        <v>22470000</v>
      </c>
      <c r="U158" s="115"/>
      <c r="V158" s="116"/>
      <c r="W158" s="116">
        <v>10000000</v>
      </c>
      <c r="X158" s="113">
        <v>671590000</v>
      </c>
      <c r="Y158" s="113">
        <v>671590000</v>
      </c>
      <c r="Z158" s="113">
        <f t="shared" si="12"/>
        <v>0</v>
      </c>
      <c r="AA158" s="113">
        <v>681590000</v>
      </c>
      <c r="AB158" s="113">
        <v>719040000</v>
      </c>
      <c r="AC158" s="117"/>
      <c r="AD158" s="118">
        <v>0.04</v>
      </c>
      <c r="AE158" s="118"/>
      <c r="AF158" s="119">
        <v>0</v>
      </c>
      <c r="AG158" s="63"/>
      <c r="AH158" s="118">
        <v>0.04</v>
      </c>
      <c r="AI158" s="63"/>
      <c r="AJ158" s="123"/>
      <c r="AK158" s="115">
        <f t="shared" si="5"/>
        <v>64713600</v>
      </c>
      <c r="AL158" s="113"/>
      <c r="AM158" s="114">
        <v>0</v>
      </c>
      <c r="AN158" s="113">
        <v>0</v>
      </c>
      <c r="AO158" s="113">
        <v>0</v>
      </c>
      <c r="AP158" s="113">
        <f t="shared" si="2"/>
        <v>0</v>
      </c>
      <c r="AQ158" s="113">
        <f t="shared" si="11"/>
        <v>64713600</v>
      </c>
      <c r="AR158" s="63"/>
      <c r="AS158" s="63"/>
      <c r="AT158" s="63"/>
      <c r="AU158" s="63"/>
      <c r="AV158" s="120"/>
      <c r="AW158" s="121" t="s">
        <v>249</v>
      </c>
      <c r="AX158" s="63"/>
      <c r="AY158" s="63"/>
      <c r="AZ158" s="63"/>
      <c r="BA158" s="142"/>
      <c r="BB158" s="111"/>
      <c r="BC158" s="111"/>
      <c r="BD158" s="118">
        <v>0.01</v>
      </c>
      <c r="BE158" s="113">
        <f>BD158*AA158</f>
        <v>6815900</v>
      </c>
    </row>
    <row r="159" spans="1:57">
      <c r="A159" s="63">
        <v>156</v>
      </c>
      <c r="B159" s="109">
        <v>46127</v>
      </c>
      <c r="C159" s="110">
        <v>4</v>
      </c>
      <c r="D159" s="64" t="s">
        <v>112</v>
      </c>
      <c r="E159" s="64" t="s">
        <v>113</v>
      </c>
      <c r="F159" s="63" t="s">
        <v>861</v>
      </c>
      <c r="G159" s="64" t="s">
        <v>862</v>
      </c>
      <c r="H159" s="63" t="s">
        <v>155</v>
      </c>
      <c r="I159" s="64" t="s">
        <v>105</v>
      </c>
      <c r="J159" s="64"/>
      <c r="K159" s="126" t="s">
        <v>106</v>
      </c>
      <c r="L159" s="64" t="s">
        <v>863</v>
      </c>
      <c r="M159" s="64" t="s">
        <v>107</v>
      </c>
      <c r="N159" s="64"/>
      <c r="O159" s="127">
        <v>46134</v>
      </c>
      <c r="P159" s="128">
        <v>315000000</v>
      </c>
      <c r="Q159" s="128">
        <v>18900000</v>
      </c>
      <c r="R159" s="208"/>
      <c r="S159" s="113"/>
      <c r="T159" s="114">
        <v>9450000</v>
      </c>
      <c r="U159" s="115"/>
      <c r="V159" s="116"/>
      <c r="W159" s="116">
        <v>6000000</v>
      </c>
      <c r="X159" s="113">
        <v>280650000</v>
      </c>
      <c r="Y159" s="113">
        <v>280650000</v>
      </c>
      <c r="Z159" s="113">
        <f t="shared" si="12"/>
        <v>0</v>
      </c>
      <c r="AA159" s="113">
        <v>286650000</v>
      </c>
      <c r="AB159" s="113">
        <v>302400000</v>
      </c>
      <c r="AC159" s="117"/>
      <c r="AD159" s="118">
        <v>0.04</v>
      </c>
      <c r="AE159" s="118"/>
      <c r="AF159" s="119">
        <v>0</v>
      </c>
      <c r="AG159" s="63"/>
      <c r="AH159" s="118">
        <v>0.04</v>
      </c>
      <c r="AI159" s="63"/>
      <c r="AJ159" s="123"/>
      <c r="AK159" s="115">
        <f t="shared" si="5"/>
        <v>27216000</v>
      </c>
      <c r="AL159" s="113"/>
      <c r="AM159" s="114">
        <v>0</v>
      </c>
      <c r="AN159" s="113">
        <v>0</v>
      </c>
      <c r="AO159" s="113">
        <v>5000000</v>
      </c>
      <c r="AP159" s="113">
        <f t="shared" si="2"/>
        <v>2500000</v>
      </c>
      <c r="AQ159" s="113">
        <f t="shared" si="11"/>
        <v>29716000</v>
      </c>
      <c r="AR159" s="63"/>
      <c r="AS159" s="63"/>
      <c r="AT159" s="63"/>
      <c r="AU159" s="63"/>
      <c r="AV159" s="140" t="s">
        <v>368</v>
      </c>
      <c r="AW159" s="121" t="s">
        <v>249</v>
      </c>
      <c r="AX159" s="63"/>
      <c r="AY159" s="63"/>
      <c r="AZ159" s="63"/>
      <c r="BA159" s="142"/>
      <c r="BB159" s="111"/>
      <c r="BC159" s="111"/>
      <c r="BD159" s="118">
        <v>0.01</v>
      </c>
      <c r="BE159" s="113">
        <f>BD159*AA159</f>
        <v>2866500</v>
      </c>
    </row>
    <row r="160" spans="1:57">
      <c r="A160" s="63">
        <v>157</v>
      </c>
      <c r="B160" s="109">
        <v>46127</v>
      </c>
      <c r="C160" s="110">
        <v>4</v>
      </c>
      <c r="D160" s="64" t="s">
        <v>112</v>
      </c>
      <c r="E160" s="64" t="s">
        <v>113</v>
      </c>
      <c r="F160" s="63" t="s">
        <v>864</v>
      </c>
      <c r="G160" s="64" t="s">
        <v>865</v>
      </c>
      <c r="H160" s="63" t="s">
        <v>52</v>
      </c>
      <c r="I160" s="64" t="s">
        <v>52</v>
      </c>
      <c r="J160" s="64"/>
      <c r="K160" s="126" t="s">
        <v>114</v>
      </c>
      <c r="L160" s="64" t="s">
        <v>866</v>
      </c>
      <c r="M160" s="64" t="s">
        <v>103</v>
      </c>
      <c r="N160" s="64"/>
      <c r="O160" s="127">
        <v>46134</v>
      </c>
      <c r="P160" s="128">
        <v>749000000</v>
      </c>
      <c r="Q160" s="128">
        <v>44940000</v>
      </c>
      <c r="R160" s="208"/>
      <c r="S160" s="113"/>
      <c r="T160" s="114">
        <v>22470000</v>
      </c>
      <c r="U160" s="115"/>
      <c r="V160" s="116"/>
      <c r="W160" s="116">
        <v>12000000</v>
      </c>
      <c r="X160" s="113">
        <v>669590000</v>
      </c>
      <c r="Y160" s="113">
        <v>669590000</v>
      </c>
      <c r="Z160" s="113">
        <f t="shared" si="12"/>
        <v>0</v>
      </c>
      <c r="AA160" s="113">
        <v>681590000</v>
      </c>
      <c r="AB160" s="113">
        <v>719040000</v>
      </c>
      <c r="AC160" s="117"/>
      <c r="AD160" s="118">
        <v>0.04</v>
      </c>
      <c r="AE160" s="118"/>
      <c r="AF160" s="119">
        <v>0</v>
      </c>
      <c r="AG160" s="63"/>
      <c r="AH160" s="118">
        <v>0.04</v>
      </c>
      <c r="AI160" s="63"/>
      <c r="AJ160" s="123"/>
      <c r="AK160" s="115">
        <f t="shared" si="5"/>
        <v>64713600</v>
      </c>
      <c r="AL160" s="113"/>
      <c r="AM160" s="114">
        <v>0</v>
      </c>
      <c r="AN160" s="113">
        <v>0</v>
      </c>
      <c r="AO160" s="113">
        <v>10000000</v>
      </c>
      <c r="AP160" s="113">
        <f t="shared" si="2"/>
        <v>5000000</v>
      </c>
      <c r="AQ160" s="113">
        <f t="shared" si="11"/>
        <v>69713600</v>
      </c>
      <c r="AR160" s="63"/>
      <c r="AS160" s="63"/>
      <c r="AT160" s="63"/>
      <c r="AU160" s="63"/>
      <c r="AV160" s="120"/>
      <c r="AW160" s="121" t="s">
        <v>249</v>
      </c>
      <c r="AX160" s="63"/>
      <c r="AY160" s="63"/>
      <c r="AZ160" s="63"/>
      <c r="BA160" s="142"/>
      <c r="BB160" s="111"/>
      <c r="BC160" s="111"/>
      <c r="BD160" s="123"/>
      <c r="BE160" s="113"/>
    </row>
    <row r="161" spans="1:57">
      <c r="A161" s="63">
        <v>158</v>
      </c>
      <c r="B161" s="109">
        <v>46127</v>
      </c>
      <c r="C161" s="110">
        <v>4</v>
      </c>
      <c r="D161" s="64" t="s">
        <v>112</v>
      </c>
      <c r="E161" s="64" t="s">
        <v>113</v>
      </c>
      <c r="F161" s="63" t="s">
        <v>867</v>
      </c>
      <c r="G161" s="64" t="s">
        <v>868</v>
      </c>
      <c r="H161" s="63" t="s">
        <v>155</v>
      </c>
      <c r="I161" s="64" t="s">
        <v>134</v>
      </c>
      <c r="J161" s="64"/>
      <c r="K161" s="126" t="s">
        <v>108</v>
      </c>
      <c r="L161" s="64" t="s">
        <v>869</v>
      </c>
      <c r="M161" s="64" t="s">
        <v>107</v>
      </c>
      <c r="N161" s="64"/>
      <c r="O161" s="127">
        <v>46135</v>
      </c>
      <c r="P161" s="128">
        <v>302000000</v>
      </c>
      <c r="Q161" s="128">
        <v>18120000</v>
      </c>
      <c r="R161" s="208"/>
      <c r="S161" s="113"/>
      <c r="T161" s="114">
        <v>9060000</v>
      </c>
      <c r="U161" s="115"/>
      <c r="V161" s="116"/>
      <c r="W161" s="113"/>
      <c r="X161" s="113">
        <v>274820000</v>
      </c>
      <c r="Y161" s="113">
        <v>274820000</v>
      </c>
      <c r="Z161" s="113">
        <f t="shared" si="12"/>
        <v>0</v>
      </c>
      <c r="AA161" s="113">
        <v>274820000</v>
      </c>
      <c r="AB161" s="113">
        <v>289920000</v>
      </c>
      <c r="AC161" s="117"/>
      <c r="AD161" s="118">
        <v>0.04</v>
      </c>
      <c r="AE161" s="118"/>
      <c r="AF161" s="119">
        <v>0</v>
      </c>
      <c r="AG161" s="63"/>
      <c r="AH161" s="118">
        <v>0.04</v>
      </c>
      <c r="AI161" s="63"/>
      <c r="AJ161" s="123"/>
      <c r="AK161" s="115">
        <f t="shared" si="5"/>
        <v>26092800</v>
      </c>
      <c r="AL161" s="113"/>
      <c r="AM161" s="114">
        <v>0</v>
      </c>
      <c r="AN161" s="113">
        <v>0</v>
      </c>
      <c r="AO161" s="113">
        <v>0</v>
      </c>
      <c r="AP161" s="113">
        <f t="shared" si="2"/>
        <v>0</v>
      </c>
      <c r="AQ161" s="113">
        <f t="shared" si="11"/>
        <v>26092800</v>
      </c>
      <c r="AR161" s="63"/>
      <c r="AS161" s="63"/>
      <c r="AT161" s="63"/>
      <c r="AU161" s="63"/>
      <c r="AV161" s="144" t="s">
        <v>383</v>
      </c>
      <c r="AW161" s="121" t="s">
        <v>249</v>
      </c>
      <c r="AX161" s="63"/>
      <c r="AY161" s="63"/>
      <c r="AZ161" s="63"/>
      <c r="BA161" s="142"/>
      <c r="BB161" s="111"/>
      <c r="BC161" s="111"/>
      <c r="BD161" s="118">
        <v>0.01</v>
      </c>
      <c r="BE161" s="113">
        <f>BD161*AA161</f>
        <v>2748200</v>
      </c>
    </row>
    <row r="162" spans="1:57">
      <c r="A162" s="63">
        <v>159</v>
      </c>
      <c r="B162" s="109">
        <v>46127</v>
      </c>
      <c r="C162" s="110">
        <v>4</v>
      </c>
      <c r="D162" s="64" t="s">
        <v>112</v>
      </c>
      <c r="E162" s="64" t="s">
        <v>135</v>
      </c>
      <c r="F162" s="63" t="s">
        <v>870</v>
      </c>
      <c r="G162" s="64" t="s">
        <v>871</v>
      </c>
      <c r="H162" s="63" t="s">
        <v>155</v>
      </c>
      <c r="I162" s="64" t="s">
        <v>105</v>
      </c>
      <c r="J162" s="64"/>
      <c r="K162" s="126" t="s">
        <v>106</v>
      </c>
      <c r="L162" s="64" t="s">
        <v>872</v>
      </c>
      <c r="M162" s="64" t="s">
        <v>103</v>
      </c>
      <c r="N162" s="64"/>
      <c r="O162" s="127">
        <v>46135</v>
      </c>
      <c r="P162" s="128">
        <v>315000000</v>
      </c>
      <c r="Q162" s="128">
        <v>18900000</v>
      </c>
      <c r="R162" s="208"/>
      <c r="S162" s="113"/>
      <c r="T162" s="114"/>
      <c r="U162" s="115"/>
      <c r="V162" s="116"/>
      <c r="W162" s="113"/>
      <c r="X162" s="113">
        <v>296100000</v>
      </c>
      <c r="Y162" s="113">
        <v>296100000</v>
      </c>
      <c r="Z162" s="113">
        <f t="shared" si="12"/>
        <v>0</v>
      </c>
      <c r="AA162" s="113">
        <v>296100000</v>
      </c>
      <c r="AB162" s="113">
        <v>302400000</v>
      </c>
      <c r="AC162" s="117"/>
      <c r="AD162" s="118">
        <v>0.04</v>
      </c>
      <c r="AE162" s="118"/>
      <c r="AF162" s="119">
        <v>0</v>
      </c>
      <c r="AG162" s="63"/>
      <c r="AH162" s="118">
        <v>0.04</v>
      </c>
      <c r="AI162" s="63"/>
      <c r="AJ162" s="123"/>
      <c r="AK162" s="115">
        <f t="shared" si="5"/>
        <v>18144000</v>
      </c>
      <c r="AL162" s="113"/>
      <c r="AM162" s="114">
        <v>0</v>
      </c>
      <c r="AN162" s="113">
        <v>0</v>
      </c>
      <c r="AO162" s="113">
        <v>0</v>
      </c>
      <c r="AP162" s="113">
        <f t="shared" si="2"/>
        <v>0</v>
      </c>
      <c r="AQ162" s="113">
        <f t="shared" si="11"/>
        <v>18144000</v>
      </c>
      <c r="AR162" s="63"/>
      <c r="AS162" s="63"/>
      <c r="AT162" s="63"/>
      <c r="AU162" s="63"/>
      <c r="AV162" s="144" t="s">
        <v>383</v>
      </c>
      <c r="AW162" s="121" t="s">
        <v>249</v>
      </c>
      <c r="AX162" s="63"/>
      <c r="AY162" s="63"/>
      <c r="AZ162" s="63"/>
      <c r="BA162" s="142"/>
      <c r="BB162" s="111"/>
      <c r="BC162" s="111"/>
      <c r="BD162" s="123"/>
      <c r="BE162" s="113"/>
    </row>
    <row r="163" spans="1:57">
      <c r="A163" s="63">
        <v>160</v>
      </c>
      <c r="B163" s="109">
        <v>46127</v>
      </c>
      <c r="C163" s="110">
        <v>4</v>
      </c>
      <c r="D163" s="64" t="s">
        <v>112</v>
      </c>
      <c r="E163" s="64" t="s">
        <v>132</v>
      </c>
      <c r="F163" s="63" t="s">
        <v>873</v>
      </c>
      <c r="G163" s="64" t="s">
        <v>874</v>
      </c>
      <c r="H163" s="64" t="s">
        <v>321</v>
      </c>
      <c r="I163" s="64" t="s">
        <v>875</v>
      </c>
      <c r="J163" s="64"/>
      <c r="K163" s="126" t="s">
        <v>876</v>
      </c>
      <c r="L163" s="64" t="s">
        <v>877</v>
      </c>
      <c r="M163" s="64" t="s">
        <v>107</v>
      </c>
      <c r="N163" s="64"/>
      <c r="O163" s="127">
        <v>46136</v>
      </c>
      <c r="P163" s="128">
        <v>1019000000</v>
      </c>
      <c r="Q163" s="115">
        <v>101900000</v>
      </c>
      <c r="R163" s="208"/>
      <c r="S163" s="113"/>
      <c r="T163" s="114">
        <v>30570000</v>
      </c>
      <c r="U163" s="115"/>
      <c r="V163" s="116">
        <v>20000000</v>
      </c>
      <c r="W163" s="116">
        <v>20000000</v>
      </c>
      <c r="X163" s="113">
        <v>846530000</v>
      </c>
      <c r="Y163" s="113">
        <v>846530000</v>
      </c>
      <c r="Z163" s="113">
        <f t="shared" si="12"/>
        <v>0</v>
      </c>
      <c r="AA163" s="113">
        <v>866530000</v>
      </c>
      <c r="AB163" s="113">
        <v>962954999.60000002</v>
      </c>
      <c r="AC163" s="117"/>
      <c r="AD163" s="118">
        <v>5.5E-2</v>
      </c>
      <c r="AE163" s="118"/>
      <c r="AF163" s="119">
        <v>0</v>
      </c>
      <c r="AG163" s="63"/>
      <c r="AH163" s="118">
        <v>5.5E-2</v>
      </c>
      <c r="AI163" s="63"/>
      <c r="AJ163" s="123"/>
      <c r="AK163" s="115">
        <f t="shared" si="5"/>
        <v>144084149.60000002</v>
      </c>
      <c r="AL163" s="113"/>
      <c r="AM163" s="114">
        <v>0</v>
      </c>
      <c r="AN163" s="113">
        <v>0</v>
      </c>
      <c r="AO163" s="113">
        <v>0</v>
      </c>
      <c r="AP163" s="113">
        <f t="shared" si="2"/>
        <v>0</v>
      </c>
      <c r="AQ163" s="113">
        <f t="shared" si="11"/>
        <v>144084149.60000002</v>
      </c>
      <c r="AR163" s="63"/>
      <c r="AS163" s="63"/>
      <c r="AT163" s="63"/>
      <c r="AU163" s="63"/>
      <c r="AV163" s="144" t="s">
        <v>383</v>
      </c>
      <c r="AW163" s="121" t="s">
        <v>249</v>
      </c>
      <c r="AX163" s="63"/>
      <c r="AY163" s="63"/>
      <c r="AZ163" s="63"/>
      <c r="BA163" s="142"/>
      <c r="BB163" s="111"/>
      <c r="BC163" s="111"/>
      <c r="BD163" s="118">
        <v>0.01</v>
      </c>
      <c r="BE163" s="113">
        <f>BD163*AA163</f>
        <v>8665300</v>
      </c>
    </row>
    <row r="164" spans="1:57">
      <c r="A164" s="63">
        <v>161</v>
      </c>
      <c r="B164" s="109">
        <v>46127</v>
      </c>
      <c r="C164" s="110">
        <v>4</v>
      </c>
      <c r="D164" s="64" t="s">
        <v>112</v>
      </c>
      <c r="E164" s="64" t="s">
        <v>132</v>
      </c>
      <c r="F164" s="63" t="s">
        <v>878</v>
      </c>
      <c r="G164" s="64" t="s">
        <v>879</v>
      </c>
      <c r="H164" s="63" t="s">
        <v>167</v>
      </c>
      <c r="I164" s="64" t="s">
        <v>105</v>
      </c>
      <c r="J164" s="64"/>
      <c r="K164" s="126" t="s">
        <v>119</v>
      </c>
      <c r="L164" s="64" t="s">
        <v>880</v>
      </c>
      <c r="M164" s="64" t="s">
        <v>103</v>
      </c>
      <c r="N164" s="64"/>
      <c r="O164" s="127">
        <v>46139</v>
      </c>
      <c r="P164" s="128">
        <v>529000000</v>
      </c>
      <c r="Q164" s="128">
        <v>31740000</v>
      </c>
      <c r="R164" s="208"/>
      <c r="S164" s="113"/>
      <c r="T164" s="114"/>
      <c r="U164" s="115"/>
      <c r="V164" s="116"/>
      <c r="W164" s="116">
        <v>8400000</v>
      </c>
      <c r="X164" s="113">
        <v>488860000</v>
      </c>
      <c r="Y164" s="113">
        <v>488860000</v>
      </c>
      <c r="Z164" s="113">
        <f t="shared" si="12"/>
        <v>0</v>
      </c>
      <c r="AA164" s="113">
        <v>497260000</v>
      </c>
      <c r="AB164" s="113">
        <v>507840000</v>
      </c>
      <c r="AC164" s="117"/>
      <c r="AD164" s="118">
        <v>0.04</v>
      </c>
      <c r="AE164" s="118"/>
      <c r="AF164" s="119">
        <v>0</v>
      </c>
      <c r="AG164" s="63"/>
      <c r="AH164" s="118">
        <v>0.04</v>
      </c>
      <c r="AI164" s="63"/>
      <c r="AJ164" s="123"/>
      <c r="AK164" s="115">
        <f t="shared" si="5"/>
        <v>30470400</v>
      </c>
      <c r="AL164" s="113"/>
      <c r="AM164" s="114">
        <v>0</v>
      </c>
      <c r="AN164" s="113">
        <v>0</v>
      </c>
      <c r="AO164" s="113">
        <v>7000000</v>
      </c>
      <c r="AP164" s="113">
        <f t="shared" si="2"/>
        <v>3500000</v>
      </c>
      <c r="AQ164" s="113">
        <f t="shared" si="11"/>
        <v>33970400</v>
      </c>
      <c r="AR164" s="63"/>
      <c r="AS164" s="63"/>
      <c r="AT164" s="63"/>
      <c r="AU164" s="63"/>
      <c r="AV164" s="144" t="s">
        <v>383</v>
      </c>
      <c r="AW164" s="121" t="s">
        <v>249</v>
      </c>
      <c r="AX164" s="63"/>
      <c r="AY164" s="63"/>
      <c r="AZ164" s="63"/>
      <c r="BA164" s="142"/>
      <c r="BB164" s="111"/>
      <c r="BC164" s="111"/>
      <c r="BD164" s="123"/>
      <c r="BE164" s="113"/>
    </row>
    <row r="165" spans="1:57">
      <c r="A165" s="63">
        <v>162</v>
      </c>
      <c r="B165" s="109">
        <v>46127</v>
      </c>
      <c r="C165" s="110">
        <v>4</v>
      </c>
      <c r="D165" s="64" t="s">
        <v>112</v>
      </c>
      <c r="E165" s="64" t="s">
        <v>135</v>
      </c>
      <c r="F165" s="63" t="s">
        <v>881</v>
      </c>
      <c r="G165" s="64" t="s">
        <v>882</v>
      </c>
      <c r="H165" s="63" t="s">
        <v>173</v>
      </c>
      <c r="I165" s="64" t="s">
        <v>105</v>
      </c>
      <c r="J165" s="64"/>
      <c r="K165" s="126" t="s">
        <v>161</v>
      </c>
      <c r="L165" s="64" t="s">
        <v>883</v>
      </c>
      <c r="M165" s="64" t="s">
        <v>120</v>
      </c>
      <c r="N165" s="64"/>
      <c r="O165" s="127">
        <v>46139</v>
      </c>
      <c r="P165" s="128">
        <v>745000000</v>
      </c>
      <c r="Q165" s="128">
        <v>44700000</v>
      </c>
      <c r="R165" s="208"/>
      <c r="S165" s="113"/>
      <c r="T165" s="114">
        <v>22350000</v>
      </c>
      <c r="U165" s="115"/>
      <c r="V165" s="116"/>
      <c r="W165" s="116">
        <v>12000000</v>
      </c>
      <c r="X165" s="113">
        <v>665950000</v>
      </c>
      <c r="Y165" s="113">
        <v>665950000</v>
      </c>
      <c r="Z165" s="113">
        <f t="shared" si="12"/>
        <v>0</v>
      </c>
      <c r="AA165" s="113">
        <v>677950000</v>
      </c>
      <c r="AB165" s="113">
        <v>715200000</v>
      </c>
      <c r="AC165" s="117"/>
      <c r="AD165" s="118">
        <v>0.04</v>
      </c>
      <c r="AE165" s="118"/>
      <c r="AF165" s="119">
        <v>0</v>
      </c>
      <c r="AG165" s="63"/>
      <c r="AH165" s="118">
        <v>0.04</v>
      </c>
      <c r="AI165" s="63"/>
      <c r="AJ165" s="123"/>
      <c r="AK165" s="115">
        <f t="shared" si="5"/>
        <v>64368000</v>
      </c>
      <c r="AL165" s="113"/>
      <c r="AM165" s="114">
        <v>0</v>
      </c>
      <c r="AN165" s="113">
        <v>0</v>
      </c>
      <c r="AO165" s="113">
        <v>10000000</v>
      </c>
      <c r="AP165" s="113">
        <f t="shared" si="2"/>
        <v>5000000</v>
      </c>
      <c r="AQ165" s="113">
        <f t="shared" si="11"/>
        <v>69368000</v>
      </c>
      <c r="AR165" s="63"/>
      <c r="AS165" s="63"/>
      <c r="AT165" s="63"/>
      <c r="AU165" s="63"/>
      <c r="AV165" s="144" t="s">
        <v>383</v>
      </c>
      <c r="AW165" s="121" t="s">
        <v>249</v>
      </c>
      <c r="AX165" s="63"/>
      <c r="AY165" s="63"/>
      <c r="AZ165" s="63"/>
      <c r="BA165" s="142"/>
      <c r="BB165" s="111"/>
      <c r="BC165" s="111"/>
      <c r="BD165" s="123"/>
      <c r="BE165" s="113"/>
    </row>
    <row r="166" spans="1:57">
      <c r="A166" s="63">
        <v>163</v>
      </c>
      <c r="B166" s="109">
        <v>46127</v>
      </c>
      <c r="C166" s="110">
        <v>4</v>
      </c>
      <c r="D166" s="64" t="s">
        <v>112</v>
      </c>
      <c r="E166" s="64" t="s">
        <v>133</v>
      </c>
      <c r="F166" s="63" t="s">
        <v>884</v>
      </c>
      <c r="G166" s="64" t="s">
        <v>885</v>
      </c>
      <c r="H166" s="63" t="s">
        <v>155</v>
      </c>
      <c r="I166" s="64" t="s">
        <v>105</v>
      </c>
      <c r="J166" s="64"/>
      <c r="K166" s="126" t="s">
        <v>106</v>
      </c>
      <c r="L166" s="64" t="s">
        <v>886</v>
      </c>
      <c r="M166" s="64" t="s">
        <v>120</v>
      </c>
      <c r="N166" s="64"/>
      <c r="O166" s="127">
        <v>46139</v>
      </c>
      <c r="P166" s="128">
        <v>315000000</v>
      </c>
      <c r="Q166" s="128">
        <v>18900000</v>
      </c>
      <c r="R166" s="208"/>
      <c r="S166" s="113"/>
      <c r="T166" s="114"/>
      <c r="U166" s="115"/>
      <c r="V166" s="116"/>
      <c r="W166" s="116">
        <v>6000000</v>
      </c>
      <c r="X166" s="113">
        <v>290100000</v>
      </c>
      <c r="Y166" s="113">
        <v>290100000</v>
      </c>
      <c r="Z166" s="113">
        <f t="shared" si="12"/>
        <v>0</v>
      </c>
      <c r="AA166" s="113">
        <v>296100000</v>
      </c>
      <c r="AB166" s="113">
        <v>302400000</v>
      </c>
      <c r="AC166" s="117"/>
      <c r="AD166" s="118">
        <v>0.04</v>
      </c>
      <c r="AE166" s="118"/>
      <c r="AF166" s="119">
        <v>0</v>
      </c>
      <c r="AG166" s="63"/>
      <c r="AH166" s="118">
        <v>0.04</v>
      </c>
      <c r="AI166" s="63"/>
      <c r="AJ166" s="123"/>
      <c r="AK166" s="115">
        <f t="shared" si="5"/>
        <v>18144000</v>
      </c>
      <c r="AL166" s="113"/>
      <c r="AM166" s="114">
        <v>0</v>
      </c>
      <c r="AN166" s="113">
        <v>0</v>
      </c>
      <c r="AO166" s="113">
        <v>0</v>
      </c>
      <c r="AP166" s="113">
        <f t="shared" si="2"/>
        <v>0</v>
      </c>
      <c r="AQ166" s="113">
        <f t="shared" si="11"/>
        <v>18144000</v>
      </c>
      <c r="AR166" s="63"/>
      <c r="AS166" s="63"/>
      <c r="AT166" s="63"/>
      <c r="AU166" s="63"/>
      <c r="AV166" s="140" t="s">
        <v>368</v>
      </c>
      <c r="AW166" s="121" t="s">
        <v>249</v>
      </c>
      <c r="AX166" s="63"/>
      <c r="AY166" s="63"/>
      <c r="AZ166" s="63"/>
      <c r="BA166" s="142"/>
      <c r="BB166" s="111"/>
      <c r="BC166" s="111"/>
      <c r="BD166" s="123"/>
      <c r="BE166" s="113"/>
    </row>
    <row r="167" spans="1:57">
      <c r="A167" s="63">
        <v>164</v>
      </c>
      <c r="B167" s="109">
        <v>46127</v>
      </c>
      <c r="C167" s="110">
        <v>4</v>
      </c>
      <c r="D167" s="64" t="s">
        <v>112</v>
      </c>
      <c r="E167" s="64" t="s">
        <v>132</v>
      </c>
      <c r="F167" s="63" t="s">
        <v>887</v>
      </c>
      <c r="G167" s="64" t="s">
        <v>888</v>
      </c>
      <c r="H167" s="64" t="s">
        <v>164</v>
      </c>
      <c r="I167" s="64" t="s">
        <v>668</v>
      </c>
      <c r="J167" s="64"/>
      <c r="K167" s="126" t="s">
        <v>669</v>
      </c>
      <c r="L167" s="64" t="s">
        <v>889</v>
      </c>
      <c r="M167" s="64" t="s">
        <v>107</v>
      </c>
      <c r="N167" s="64"/>
      <c r="O167" s="127">
        <v>46139</v>
      </c>
      <c r="P167" s="128">
        <v>939000000</v>
      </c>
      <c r="Q167" s="128">
        <v>56340000</v>
      </c>
      <c r="R167" s="208"/>
      <c r="S167" s="113"/>
      <c r="T167" s="114">
        <v>28170000</v>
      </c>
      <c r="U167" s="115"/>
      <c r="V167" s="116"/>
      <c r="W167" s="116">
        <v>10000000</v>
      </c>
      <c r="X167" s="113">
        <v>844490000</v>
      </c>
      <c r="Y167" s="113">
        <v>844490000</v>
      </c>
      <c r="Z167" s="113">
        <f t="shared" si="12"/>
        <v>0</v>
      </c>
      <c r="AA167" s="113">
        <v>854490000</v>
      </c>
      <c r="AB167" s="113">
        <v>896745000</v>
      </c>
      <c r="AC167" s="117"/>
      <c r="AD167" s="118">
        <v>4.4999999999999998E-2</v>
      </c>
      <c r="AE167" s="118"/>
      <c r="AF167" s="119">
        <v>0</v>
      </c>
      <c r="AG167" s="63"/>
      <c r="AH167" s="118">
        <v>4.4999999999999998E-2</v>
      </c>
      <c r="AI167" s="63"/>
      <c r="AJ167" s="123"/>
      <c r="AK167" s="115">
        <f t="shared" si="5"/>
        <v>80707050</v>
      </c>
      <c r="AL167" s="113"/>
      <c r="AM167" s="114">
        <v>0</v>
      </c>
      <c r="AN167" s="113">
        <v>0</v>
      </c>
      <c r="AO167" s="113">
        <v>15000000</v>
      </c>
      <c r="AP167" s="113">
        <f t="shared" si="2"/>
        <v>7500000</v>
      </c>
      <c r="AQ167" s="113">
        <f t="shared" si="11"/>
        <v>88207050</v>
      </c>
      <c r="AR167" s="63"/>
      <c r="AS167" s="63"/>
      <c r="AT167" s="63"/>
      <c r="AU167" s="63"/>
      <c r="AV167" s="144" t="s">
        <v>383</v>
      </c>
      <c r="AW167" s="121" t="s">
        <v>249</v>
      </c>
      <c r="AX167" s="63"/>
      <c r="AY167" s="63"/>
      <c r="AZ167" s="63"/>
      <c r="BA167" s="63"/>
      <c r="BB167" s="111"/>
      <c r="BC167" s="111"/>
      <c r="BD167" s="118">
        <v>0.01</v>
      </c>
      <c r="BE167" s="113">
        <f>BD167*AA167</f>
        <v>8544900</v>
      </c>
    </row>
    <row r="168" spans="1:57">
      <c r="A168" s="63">
        <v>165</v>
      </c>
      <c r="B168" s="109">
        <v>46127</v>
      </c>
      <c r="C168" s="110">
        <v>4</v>
      </c>
      <c r="D168" s="64" t="s">
        <v>112</v>
      </c>
      <c r="E168" s="64" t="s">
        <v>132</v>
      </c>
      <c r="F168" s="63" t="s">
        <v>890</v>
      </c>
      <c r="G168" s="64" t="s">
        <v>891</v>
      </c>
      <c r="H168" s="63" t="s">
        <v>155</v>
      </c>
      <c r="I168" s="64" t="s">
        <v>105</v>
      </c>
      <c r="J168" s="64"/>
      <c r="K168" s="126" t="s">
        <v>121</v>
      </c>
      <c r="L168" s="64" t="s">
        <v>892</v>
      </c>
      <c r="M168" s="64" t="s">
        <v>103</v>
      </c>
      <c r="N168" s="64"/>
      <c r="O168" s="127">
        <v>46140</v>
      </c>
      <c r="P168" s="128">
        <v>323000000</v>
      </c>
      <c r="Q168" s="128">
        <v>19380000</v>
      </c>
      <c r="R168" s="208"/>
      <c r="S168" s="113"/>
      <c r="T168" s="114">
        <v>9690000</v>
      </c>
      <c r="U168" s="115"/>
      <c r="V168" s="116"/>
      <c r="W168" s="116">
        <v>6000000</v>
      </c>
      <c r="X168" s="113">
        <v>287930000</v>
      </c>
      <c r="Y168" s="113">
        <v>287930000</v>
      </c>
      <c r="Z168" s="113">
        <f t="shared" si="12"/>
        <v>0</v>
      </c>
      <c r="AA168" s="113">
        <v>293930000</v>
      </c>
      <c r="AB168" s="113">
        <v>310080000</v>
      </c>
      <c r="AC168" s="117"/>
      <c r="AD168" s="118">
        <v>0.04</v>
      </c>
      <c r="AE168" s="118"/>
      <c r="AF168" s="119">
        <v>0</v>
      </c>
      <c r="AG168" s="63"/>
      <c r="AH168" s="118">
        <v>0.04</v>
      </c>
      <c r="AI168" s="63"/>
      <c r="AJ168" s="123"/>
      <c r="AK168" s="115">
        <f t="shared" si="5"/>
        <v>27907200</v>
      </c>
      <c r="AL168" s="113"/>
      <c r="AM168" s="114">
        <v>0</v>
      </c>
      <c r="AN168" s="113">
        <v>0</v>
      </c>
      <c r="AO168" s="113">
        <v>0</v>
      </c>
      <c r="AP168" s="113">
        <f t="shared" si="2"/>
        <v>0</v>
      </c>
      <c r="AQ168" s="113">
        <f t="shared" si="11"/>
        <v>27907200</v>
      </c>
      <c r="AR168" s="63"/>
      <c r="AS168" s="63"/>
      <c r="AT168" s="63"/>
      <c r="AU168" s="63"/>
      <c r="AV168" s="144" t="s">
        <v>383</v>
      </c>
      <c r="AW168" s="121" t="s">
        <v>249</v>
      </c>
      <c r="AX168" s="63"/>
      <c r="AY168" s="63"/>
      <c r="AZ168" s="63"/>
      <c r="BA168" s="63"/>
      <c r="BB168" s="111"/>
      <c r="BC168" s="111"/>
      <c r="BD168" s="123"/>
      <c r="BE168" s="113"/>
    </row>
    <row r="169" spans="1:57">
      <c r="A169" s="63">
        <v>166</v>
      </c>
      <c r="B169" s="109">
        <v>46127</v>
      </c>
      <c r="C169" s="110">
        <v>4</v>
      </c>
      <c r="D169" s="64" t="s">
        <v>112</v>
      </c>
      <c r="E169" s="64" t="s">
        <v>133</v>
      </c>
      <c r="F169" s="63" t="s">
        <v>893</v>
      </c>
      <c r="G169" s="64" t="s">
        <v>894</v>
      </c>
      <c r="H169" s="63" t="s">
        <v>167</v>
      </c>
      <c r="I169" s="64" t="s">
        <v>105</v>
      </c>
      <c r="J169" s="64"/>
      <c r="K169" s="126" t="s">
        <v>119</v>
      </c>
      <c r="L169" s="64" t="s">
        <v>895</v>
      </c>
      <c r="M169" s="64" t="s">
        <v>103</v>
      </c>
      <c r="N169" s="64"/>
      <c r="O169" s="127">
        <v>46139</v>
      </c>
      <c r="P169" s="128">
        <v>529000000</v>
      </c>
      <c r="Q169" s="128">
        <v>31740000</v>
      </c>
      <c r="R169" s="208"/>
      <c r="S169" s="113"/>
      <c r="T169" s="114"/>
      <c r="U169" s="115"/>
      <c r="V169" s="116"/>
      <c r="W169" s="113"/>
      <c r="X169" s="113">
        <v>497260000</v>
      </c>
      <c r="Y169" s="113">
        <v>497260000</v>
      </c>
      <c r="Z169" s="113">
        <f t="shared" si="12"/>
        <v>0</v>
      </c>
      <c r="AA169" s="113">
        <v>497260000</v>
      </c>
      <c r="AB169" s="113">
        <v>507840000</v>
      </c>
      <c r="AC169" s="117"/>
      <c r="AD169" s="118">
        <v>0.04</v>
      </c>
      <c r="AE169" s="118"/>
      <c r="AF169" s="119">
        <v>0</v>
      </c>
      <c r="AG169" s="63"/>
      <c r="AH169" s="118">
        <v>0.04</v>
      </c>
      <c r="AI169" s="63"/>
      <c r="AJ169" s="123"/>
      <c r="AK169" s="115">
        <f t="shared" si="5"/>
        <v>30470400</v>
      </c>
      <c r="AL169" s="113"/>
      <c r="AM169" s="114">
        <v>0</v>
      </c>
      <c r="AN169" s="113">
        <v>0</v>
      </c>
      <c r="AO169" s="113">
        <v>0</v>
      </c>
      <c r="AP169" s="113">
        <f t="shared" si="2"/>
        <v>0</v>
      </c>
      <c r="AQ169" s="113">
        <f t="shared" si="11"/>
        <v>30470400</v>
      </c>
      <c r="AR169" s="63"/>
      <c r="AS169" s="63"/>
      <c r="AT169" s="63"/>
      <c r="AU169" s="63"/>
      <c r="AV169" s="140" t="s">
        <v>368</v>
      </c>
      <c r="AW169" s="121" t="s">
        <v>249</v>
      </c>
      <c r="AX169" s="63"/>
      <c r="AY169" s="63"/>
      <c r="AZ169" s="63"/>
      <c r="BA169" s="63"/>
      <c r="BB169" s="111"/>
      <c r="BC169" s="111"/>
      <c r="BD169" s="123"/>
      <c r="BE169" s="113"/>
    </row>
    <row r="170" spans="1:57">
      <c r="A170" s="63">
        <v>167</v>
      </c>
      <c r="B170" s="109">
        <v>46127</v>
      </c>
      <c r="C170" s="110">
        <v>4</v>
      </c>
      <c r="D170" s="64" t="s">
        <v>112</v>
      </c>
      <c r="E170" s="64" t="s">
        <v>133</v>
      </c>
      <c r="F170" s="63" t="s">
        <v>896</v>
      </c>
      <c r="G170" s="64" t="s">
        <v>897</v>
      </c>
      <c r="H170" s="63" t="s">
        <v>52</v>
      </c>
      <c r="I170" s="64" t="s">
        <v>52</v>
      </c>
      <c r="J170" s="64"/>
      <c r="K170" s="126" t="s">
        <v>114</v>
      </c>
      <c r="L170" s="64" t="s">
        <v>898</v>
      </c>
      <c r="M170" s="64" t="s">
        <v>103</v>
      </c>
      <c r="N170" s="64"/>
      <c r="O170" s="127">
        <v>46140</v>
      </c>
      <c r="P170" s="128">
        <v>749000000</v>
      </c>
      <c r="Q170" s="128">
        <v>44940000</v>
      </c>
      <c r="R170" s="208"/>
      <c r="S170" s="113"/>
      <c r="T170" s="114"/>
      <c r="U170" s="115"/>
      <c r="V170" s="116"/>
      <c r="W170" s="116">
        <v>12000000</v>
      </c>
      <c r="X170" s="113">
        <v>692060000</v>
      </c>
      <c r="Y170" s="113">
        <v>692060000</v>
      </c>
      <c r="Z170" s="113">
        <f t="shared" si="12"/>
        <v>0</v>
      </c>
      <c r="AA170" s="113">
        <v>704060000</v>
      </c>
      <c r="AB170" s="113">
        <v>719040000</v>
      </c>
      <c r="AC170" s="117"/>
      <c r="AD170" s="118">
        <v>0.04</v>
      </c>
      <c r="AE170" s="118"/>
      <c r="AF170" s="119">
        <v>0</v>
      </c>
      <c r="AG170" s="63"/>
      <c r="AH170" s="118">
        <v>0.04</v>
      </c>
      <c r="AI170" s="63"/>
      <c r="AJ170" s="123"/>
      <c r="AK170" s="115">
        <f t="shared" si="5"/>
        <v>43142400</v>
      </c>
      <c r="AL170" s="113"/>
      <c r="AM170" s="114">
        <v>0</v>
      </c>
      <c r="AN170" s="113">
        <v>0</v>
      </c>
      <c r="AO170" s="113">
        <v>0</v>
      </c>
      <c r="AP170" s="113">
        <f t="shared" si="2"/>
        <v>0</v>
      </c>
      <c r="AQ170" s="113">
        <f t="shared" si="11"/>
        <v>43142400</v>
      </c>
      <c r="AR170" s="63"/>
      <c r="AS170" s="63"/>
      <c r="AT170" s="63"/>
      <c r="AU170" s="63"/>
      <c r="AV170" s="144" t="s">
        <v>383</v>
      </c>
      <c r="AW170" s="121" t="s">
        <v>249</v>
      </c>
      <c r="AX170" s="63"/>
      <c r="AY170" s="63"/>
      <c r="AZ170" s="63"/>
      <c r="BA170" s="63"/>
      <c r="BB170" s="111"/>
      <c r="BC170" s="111"/>
      <c r="BD170" s="123"/>
      <c r="BE170" s="113"/>
    </row>
    <row r="171" spans="1:57">
      <c r="A171" s="63">
        <v>168</v>
      </c>
      <c r="B171" s="109">
        <v>46127</v>
      </c>
      <c r="C171" s="110">
        <v>4</v>
      </c>
      <c r="D171" s="64" t="s">
        <v>112</v>
      </c>
      <c r="E171" s="64" t="s">
        <v>899</v>
      </c>
      <c r="F171" s="63" t="s">
        <v>900</v>
      </c>
      <c r="G171" s="64" t="s">
        <v>901</v>
      </c>
      <c r="H171" s="63" t="s">
        <v>52</v>
      </c>
      <c r="I171" s="64" t="s">
        <v>52</v>
      </c>
      <c r="J171" s="64"/>
      <c r="K171" s="126" t="s">
        <v>114</v>
      </c>
      <c r="L171" s="64" t="s">
        <v>902</v>
      </c>
      <c r="M171" s="64" t="s">
        <v>103</v>
      </c>
      <c r="N171" s="64"/>
      <c r="O171" s="127">
        <v>46140</v>
      </c>
      <c r="P171" s="128">
        <v>749000000</v>
      </c>
      <c r="Q171" s="128">
        <v>44940000</v>
      </c>
      <c r="R171" s="208"/>
      <c r="S171" s="113"/>
      <c r="T171" s="114">
        <v>22470000</v>
      </c>
      <c r="U171" s="115"/>
      <c r="V171" s="116"/>
      <c r="W171" s="113"/>
      <c r="X171" s="113">
        <v>681590000</v>
      </c>
      <c r="Y171" s="113">
        <v>681590000</v>
      </c>
      <c r="Z171" s="113">
        <f t="shared" si="12"/>
        <v>0</v>
      </c>
      <c r="AA171" s="113">
        <v>681590000</v>
      </c>
      <c r="AB171" s="113">
        <v>719040000</v>
      </c>
      <c r="AC171" s="117"/>
      <c r="AD171" s="118">
        <v>0.04</v>
      </c>
      <c r="AE171" s="118"/>
      <c r="AF171" s="119">
        <v>0</v>
      </c>
      <c r="AG171" s="63"/>
      <c r="AH171" s="118">
        <v>0.04</v>
      </c>
      <c r="AI171" s="63"/>
      <c r="AJ171" s="123"/>
      <c r="AK171" s="115">
        <f t="shared" si="5"/>
        <v>64713600</v>
      </c>
      <c r="AL171" s="113"/>
      <c r="AM171" s="114">
        <v>0</v>
      </c>
      <c r="AN171" s="113">
        <v>0</v>
      </c>
      <c r="AO171" s="113">
        <v>0</v>
      </c>
      <c r="AP171" s="113">
        <f t="shared" si="2"/>
        <v>0</v>
      </c>
      <c r="AQ171" s="113">
        <f t="shared" si="11"/>
        <v>64713600</v>
      </c>
      <c r="AR171" s="63"/>
      <c r="AS171" s="63"/>
      <c r="AT171" s="63"/>
      <c r="AU171" s="63"/>
      <c r="AV171" s="120"/>
      <c r="AW171" s="121" t="s">
        <v>249</v>
      </c>
      <c r="AX171" s="63"/>
      <c r="AY171" s="63"/>
      <c r="AZ171" s="63"/>
      <c r="BA171" s="63"/>
      <c r="BB171" s="111"/>
      <c r="BC171" s="111"/>
      <c r="BD171" s="123"/>
      <c r="BE171" s="113"/>
    </row>
    <row r="172" spans="1:57">
      <c r="A172" s="63">
        <v>169</v>
      </c>
      <c r="B172" s="109">
        <v>46127</v>
      </c>
      <c r="C172" s="110">
        <v>4</v>
      </c>
      <c r="D172" s="64" t="s">
        <v>112</v>
      </c>
      <c r="E172" s="64" t="s">
        <v>135</v>
      </c>
      <c r="F172" s="63" t="s">
        <v>903</v>
      </c>
      <c r="G172" s="64" t="s">
        <v>904</v>
      </c>
      <c r="H172" s="63" t="s">
        <v>155</v>
      </c>
      <c r="I172" s="64" t="s">
        <v>105</v>
      </c>
      <c r="J172" s="64"/>
      <c r="K172" s="126" t="s">
        <v>106</v>
      </c>
      <c r="L172" s="64" t="s">
        <v>905</v>
      </c>
      <c r="M172" s="64" t="s">
        <v>120</v>
      </c>
      <c r="N172" s="64"/>
      <c r="O172" s="127">
        <v>46140</v>
      </c>
      <c r="P172" s="128">
        <v>315000000</v>
      </c>
      <c r="Q172" s="128">
        <v>18900000</v>
      </c>
      <c r="R172" s="208"/>
      <c r="S172" s="113"/>
      <c r="T172" s="114"/>
      <c r="U172" s="115"/>
      <c r="V172" s="116"/>
      <c r="W172" s="113"/>
      <c r="X172" s="113">
        <v>296100000</v>
      </c>
      <c r="Y172" s="113">
        <v>296100000</v>
      </c>
      <c r="Z172" s="113">
        <f t="shared" si="12"/>
        <v>0</v>
      </c>
      <c r="AA172" s="113">
        <v>296100000</v>
      </c>
      <c r="AB172" s="113">
        <v>302400000</v>
      </c>
      <c r="AC172" s="117"/>
      <c r="AD172" s="118">
        <v>0.04</v>
      </c>
      <c r="AE172" s="118"/>
      <c r="AF172" s="119">
        <v>0</v>
      </c>
      <c r="AG172" s="63"/>
      <c r="AH172" s="118">
        <v>0.04</v>
      </c>
      <c r="AI172" s="63"/>
      <c r="AJ172" s="123"/>
      <c r="AK172" s="115">
        <f t="shared" si="5"/>
        <v>18144000</v>
      </c>
      <c r="AL172" s="113"/>
      <c r="AM172" s="114">
        <v>0</v>
      </c>
      <c r="AN172" s="113">
        <v>0</v>
      </c>
      <c r="AO172" s="113">
        <v>0</v>
      </c>
      <c r="AP172" s="113">
        <f t="shared" si="2"/>
        <v>0</v>
      </c>
      <c r="AQ172" s="113">
        <f t="shared" si="11"/>
        <v>18144000</v>
      </c>
      <c r="AR172" s="63"/>
      <c r="AS172" s="63"/>
      <c r="AT172" s="63"/>
      <c r="AU172" s="63"/>
      <c r="AV172" s="140" t="s">
        <v>368</v>
      </c>
      <c r="AW172" s="121" t="s">
        <v>249</v>
      </c>
      <c r="AX172" s="63"/>
      <c r="AY172" s="63"/>
      <c r="AZ172" s="63"/>
      <c r="BA172" s="63"/>
      <c r="BB172" s="111"/>
      <c r="BC172" s="111"/>
      <c r="BD172" s="123"/>
      <c r="BE172" s="113"/>
    </row>
    <row r="173" spans="1:57">
      <c r="A173" s="63">
        <v>170</v>
      </c>
      <c r="B173" s="109">
        <v>46127</v>
      </c>
      <c r="C173" s="110">
        <v>4</v>
      </c>
      <c r="D173" s="64" t="s">
        <v>112</v>
      </c>
      <c r="E173" s="64" t="s">
        <v>175</v>
      </c>
      <c r="F173" s="63" t="s">
        <v>906</v>
      </c>
      <c r="G173" s="64" t="s">
        <v>907</v>
      </c>
      <c r="H173" s="63" t="s">
        <v>155</v>
      </c>
      <c r="I173" s="64" t="s">
        <v>134</v>
      </c>
      <c r="J173" s="64"/>
      <c r="K173" s="126" t="s">
        <v>108</v>
      </c>
      <c r="L173" s="64" t="s">
        <v>908</v>
      </c>
      <c r="M173" s="64" t="s">
        <v>103</v>
      </c>
      <c r="N173" s="64"/>
      <c r="O173" s="127">
        <v>46140</v>
      </c>
      <c r="P173" s="128">
        <v>302000000</v>
      </c>
      <c r="Q173" s="128">
        <v>18120000</v>
      </c>
      <c r="R173" s="208"/>
      <c r="S173" s="113"/>
      <c r="T173" s="114">
        <v>9060000</v>
      </c>
      <c r="U173" s="115"/>
      <c r="V173" s="116"/>
      <c r="W173" s="113"/>
      <c r="X173" s="113">
        <v>274820000</v>
      </c>
      <c r="Y173" s="113">
        <v>274820000</v>
      </c>
      <c r="Z173" s="113">
        <f t="shared" si="12"/>
        <v>0</v>
      </c>
      <c r="AA173" s="113">
        <v>274820000</v>
      </c>
      <c r="AB173" s="113">
        <v>289920000</v>
      </c>
      <c r="AC173" s="117"/>
      <c r="AD173" s="118">
        <v>0.04</v>
      </c>
      <c r="AE173" s="118"/>
      <c r="AF173" s="119">
        <v>0</v>
      </c>
      <c r="AG173" s="63"/>
      <c r="AH173" s="118">
        <v>0.04</v>
      </c>
      <c r="AI173" s="63"/>
      <c r="AJ173" s="123"/>
      <c r="AK173" s="115">
        <f t="shared" si="5"/>
        <v>26092800</v>
      </c>
      <c r="AL173" s="113"/>
      <c r="AM173" s="114">
        <v>0</v>
      </c>
      <c r="AN173" s="113">
        <v>0</v>
      </c>
      <c r="AO173" s="113">
        <v>0</v>
      </c>
      <c r="AP173" s="113">
        <f t="shared" si="2"/>
        <v>0</v>
      </c>
      <c r="AQ173" s="113">
        <f t="shared" si="11"/>
        <v>26092800</v>
      </c>
      <c r="AR173" s="63"/>
      <c r="AS173" s="63"/>
      <c r="AT173" s="63"/>
      <c r="AU173" s="63"/>
      <c r="AV173" s="144" t="s">
        <v>383</v>
      </c>
      <c r="AW173" s="121" t="s">
        <v>249</v>
      </c>
      <c r="AX173" s="63"/>
      <c r="AY173" s="63"/>
      <c r="AZ173" s="63"/>
      <c r="BA173" s="63"/>
      <c r="BB173" s="111"/>
      <c r="BC173" s="111"/>
      <c r="BD173" s="123"/>
      <c r="BE173" s="113"/>
    </row>
    <row r="174" spans="1:57">
      <c r="A174" s="63">
        <v>171</v>
      </c>
      <c r="B174" s="109">
        <v>46127</v>
      </c>
      <c r="C174" s="110">
        <v>4</v>
      </c>
      <c r="D174" s="64" t="s">
        <v>112</v>
      </c>
      <c r="E174" s="64" t="s">
        <v>132</v>
      </c>
      <c r="F174" s="63" t="s">
        <v>20</v>
      </c>
      <c r="G174" s="64" t="s">
        <v>909</v>
      </c>
      <c r="H174" s="65" t="s">
        <v>58</v>
      </c>
      <c r="I174" s="64" t="s">
        <v>174</v>
      </c>
      <c r="J174" s="64"/>
      <c r="K174" s="126" t="s">
        <v>324</v>
      </c>
      <c r="L174" s="64" t="s">
        <v>910</v>
      </c>
      <c r="M174" s="64" t="s">
        <v>103</v>
      </c>
      <c r="N174" s="64"/>
      <c r="O174" s="127">
        <v>46140</v>
      </c>
      <c r="P174" s="128">
        <v>305000000</v>
      </c>
      <c r="Q174" s="128">
        <v>18300000</v>
      </c>
      <c r="R174" s="208"/>
      <c r="S174" s="113"/>
      <c r="T174" s="114"/>
      <c r="U174" s="115"/>
      <c r="V174" s="116"/>
      <c r="W174" s="116">
        <v>2000000</v>
      </c>
      <c r="X174" s="113">
        <v>284700000</v>
      </c>
      <c r="Y174" s="113">
        <v>284700000</v>
      </c>
      <c r="Z174" s="113">
        <f t="shared" si="12"/>
        <v>0</v>
      </c>
      <c r="AA174" s="113">
        <v>286700000</v>
      </c>
      <c r="AB174" s="113">
        <v>292800000</v>
      </c>
      <c r="AC174" s="117"/>
      <c r="AD174" s="118">
        <v>0.04</v>
      </c>
      <c r="AE174" s="118"/>
      <c r="AF174" s="119">
        <v>0</v>
      </c>
      <c r="AG174" s="63"/>
      <c r="AH174" s="118">
        <v>0.04</v>
      </c>
      <c r="AI174" s="63"/>
      <c r="AJ174" s="123"/>
      <c r="AK174" s="115">
        <f t="shared" si="5"/>
        <v>17568000</v>
      </c>
      <c r="AL174" s="113"/>
      <c r="AM174" s="114">
        <v>0</v>
      </c>
      <c r="AN174" s="113">
        <v>0</v>
      </c>
      <c r="AO174" s="113">
        <v>5000000</v>
      </c>
      <c r="AP174" s="113">
        <f t="shared" si="2"/>
        <v>2500000</v>
      </c>
      <c r="AQ174" s="113">
        <f t="shared" si="11"/>
        <v>20068000</v>
      </c>
      <c r="AR174" s="63"/>
      <c r="AS174" s="63"/>
      <c r="AT174" s="63"/>
      <c r="AU174" s="63"/>
      <c r="AV174" s="144" t="s">
        <v>383</v>
      </c>
      <c r="AW174" s="121" t="s">
        <v>249</v>
      </c>
      <c r="AX174" s="63"/>
      <c r="AY174" s="63"/>
      <c r="AZ174" s="63"/>
      <c r="BA174" s="63"/>
      <c r="BB174" s="111"/>
      <c r="BC174" s="111"/>
      <c r="BD174" s="123"/>
      <c r="BE174" s="113"/>
    </row>
    <row r="175" spans="1:57">
      <c r="A175" s="63">
        <v>172</v>
      </c>
      <c r="B175" s="109">
        <v>46127</v>
      </c>
      <c r="C175" s="110">
        <v>4</v>
      </c>
      <c r="D175" s="64" t="s">
        <v>112</v>
      </c>
      <c r="E175" s="64" t="s">
        <v>132</v>
      </c>
      <c r="F175" s="63" t="s">
        <v>911</v>
      </c>
      <c r="G175" s="64" t="s">
        <v>912</v>
      </c>
      <c r="H175" s="63" t="s">
        <v>155</v>
      </c>
      <c r="I175" s="64" t="s">
        <v>134</v>
      </c>
      <c r="J175" s="64"/>
      <c r="K175" s="126" t="s">
        <v>108</v>
      </c>
      <c r="L175" s="64" t="s">
        <v>913</v>
      </c>
      <c r="M175" s="64" t="s">
        <v>103</v>
      </c>
      <c r="N175" s="64"/>
      <c r="O175" s="127">
        <v>46140</v>
      </c>
      <c r="P175" s="128">
        <v>302000000</v>
      </c>
      <c r="Q175" s="128">
        <v>18120000</v>
      </c>
      <c r="R175" s="208"/>
      <c r="S175" s="113"/>
      <c r="T175" s="114"/>
      <c r="U175" s="115"/>
      <c r="V175" s="116"/>
      <c r="W175" s="113"/>
      <c r="X175" s="113">
        <v>283880000</v>
      </c>
      <c r="Y175" s="113">
        <v>283880000</v>
      </c>
      <c r="Z175" s="113">
        <f t="shared" si="12"/>
        <v>0</v>
      </c>
      <c r="AA175" s="113">
        <v>283880000</v>
      </c>
      <c r="AB175" s="113">
        <v>289920000</v>
      </c>
      <c r="AC175" s="117"/>
      <c r="AD175" s="118">
        <v>0.04</v>
      </c>
      <c r="AE175" s="118"/>
      <c r="AF175" s="119">
        <v>0</v>
      </c>
      <c r="AG175" s="63"/>
      <c r="AH175" s="118">
        <v>0.04</v>
      </c>
      <c r="AI175" s="63"/>
      <c r="AJ175" s="123"/>
      <c r="AK175" s="115">
        <f t="shared" si="5"/>
        <v>17395200</v>
      </c>
      <c r="AL175" s="113"/>
      <c r="AM175" s="114">
        <v>0</v>
      </c>
      <c r="AN175" s="113">
        <v>0</v>
      </c>
      <c r="AO175" s="113">
        <v>0</v>
      </c>
      <c r="AP175" s="113">
        <f t="shared" si="2"/>
        <v>0</v>
      </c>
      <c r="AQ175" s="113">
        <f t="shared" si="11"/>
        <v>17395200</v>
      </c>
      <c r="AR175" s="63"/>
      <c r="AS175" s="63"/>
      <c r="AT175" s="63"/>
      <c r="AU175" s="63"/>
      <c r="AV175" s="144" t="s">
        <v>383</v>
      </c>
      <c r="AW175" s="121" t="s">
        <v>249</v>
      </c>
      <c r="AX175" s="63"/>
      <c r="AY175" s="63"/>
      <c r="AZ175" s="63"/>
      <c r="BA175" s="63"/>
      <c r="BB175" s="111"/>
      <c r="BC175" s="111"/>
      <c r="BD175" s="123"/>
      <c r="BE175" s="113"/>
    </row>
    <row r="176" spans="1:57">
      <c r="A176" s="63">
        <v>173</v>
      </c>
      <c r="B176" s="109">
        <v>46127</v>
      </c>
      <c r="C176" s="110">
        <v>4</v>
      </c>
      <c r="D176" s="64" t="s">
        <v>112</v>
      </c>
      <c r="E176" s="64" t="s">
        <v>899</v>
      </c>
      <c r="F176" s="63" t="s">
        <v>914</v>
      </c>
      <c r="G176" s="64" t="s">
        <v>915</v>
      </c>
      <c r="H176" s="63" t="s">
        <v>173</v>
      </c>
      <c r="I176" s="64" t="s">
        <v>105</v>
      </c>
      <c r="J176" s="64"/>
      <c r="K176" s="126" t="s">
        <v>161</v>
      </c>
      <c r="L176" s="64" t="s">
        <v>916</v>
      </c>
      <c r="M176" s="64" t="s">
        <v>103</v>
      </c>
      <c r="N176" s="64"/>
      <c r="O176" s="127">
        <v>46141</v>
      </c>
      <c r="P176" s="128">
        <v>745000000</v>
      </c>
      <c r="Q176" s="128">
        <v>44700000</v>
      </c>
      <c r="R176" s="208"/>
      <c r="S176" s="113"/>
      <c r="T176" s="114"/>
      <c r="U176" s="115"/>
      <c r="V176" s="116"/>
      <c r="W176" s="113"/>
      <c r="X176" s="113">
        <v>700300000</v>
      </c>
      <c r="Y176" s="113">
        <v>700300000</v>
      </c>
      <c r="Z176" s="113">
        <f t="shared" si="12"/>
        <v>0</v>
      </c>
      <c r="AA176" s="113">
        <v>700300000</v>
      </c>
      <c r="AB176" s="113">
        <v>715200000</v>
      </c>
      <c r="AC176" s="117"/>
      <c r="AD176" s="118">
        <v>0.04</v>
      </c>
      <c r="AE176" s="118"/>
      <c r="AF176" s="119">
        <v>0</v>
      </c>
      <c r="AG176" s="63"/>
      <c r="AH176" s="118">
        <v>0.04</v>
      </c>
      <c r="AI176" s="63"/>
      <c r="AJ176" s="123"/>
      <c r="AK176" s="115">
        <f t="shared" si="5"/>
        <v>42912000</v>
      </c>
      <c r="AL176" s="113"/>
      <c r="AM176" s="114">
        <v>0</v>
      </c>
      <c r="AN176" s="113">
        <v>0</v>
      </c>
      <c r="AO176" s="113">
        <v>0</v>
      </c>
      <c r="AP176" s="113">
        <f t="shared" si="2"/>
        <v>0</v>
      </c>
      <c r="AQ176" s="113">
        <f t="shared" si="11"/>
        <v>42912000</v>
      </c>
      <c r="AR176" s="63"/>
      <c r="AS176" s="63"/>
      <c r="AT176" s="63"/>
      <c r="AU176" s="63"/>
      <c r="AV176" s="144" t="s">
        <v>383</v>
      </c>
      <c r="AW176" s="121" t="s">
        <v>249</v>
      </c>
      <c r="AX176" s="63"/>
      <c r="AY176" s="63"/>
      <c r="AZ176" s="63"/>
      <c r="BA176" s="63"/>
      <c r="BB176" s="111"/>
      <c r="BC176" s="111"/>
      <c r="BD176" s="123"/>
      <c r="BE176" s="113"/>
    </row>
    <row r="177" spans="1:57">
      <c r="A177" s="63">
        <v>174</v>
      </c>
      <c r="B177" s="109">
        <v>46127</v>
      </c>
      <c r="C177" s="110">
        <v>4</v>
      </c>
      <c r="D177" s="64" t="s">
        <v>112</v>
      </c>
      <c r="E177" s="64" t="s">
        <v>113</v>
      </c>
      <c r="F177" s="63" t="s">
        <v>917</v>
      </c>
      <c r="G177" s="64" t="s">
        <v>918</v>
      </c>
      <c r="H177" s="63" t="s">
        <v>173</v>
      </c>
      <c r="I177" s="64" t="s">
        <v>105</v>
      </c>
      <c r="J177" s="64"/>
      <c r="K177" s="126" t="s">
        <v>161</v>
      </c>
      <c r="L177" s="64" t="s">
        <v>919</v>
      </c>
      <c r="M177" s="64" t="s">
        <v>103</v>
      </c>
      <c r="N177" s="64"/>
      <c r="O177" s="127">
        <v>46141</v>
      </c>
      <c r="P177" s="128">
        <v>745000000</v>
      </c>
      <c r="Q177" s="128">
        <v>44700000</v>
      </c>
      <c r="R177" s="208"/>
      <c r="S177" s="113"/>
      <c r="T177" s="114">
        <v>22350000</v>
      </c>
      <c r="U177" s="115"/>
      <c r="V177" s="116"/>
      <c r="W177" s="116">
        <v>12000000</v>
      </c>
      <c r="X177" s="113">
        <v>665950000</v>
      </c>
      <c r="Y177" s="113">
        <v>665950000</v>
      </c>
      <c r="Z177" s="113">
        <f t="shared" si="12"/>
        <v>0</v>
      </c>
      <c r="AA177" s="113">
        <v>677950000</v>
      </c>
      <c r="AB177" s="113">
        <v>715200000</v>
      </c>
      <c r="AC177" s="117"/>
      <c r="AD177" s="118">
        <v>0.04</v>
      </c>
      <c r="AE177" s="118"/>
      <c r="AF177" s="119">
        <v>0</v>
      </c>
      <c r="AG177" s="63"/>
      <c r="AH177" s="118">
        <v>0.04</v>
      </c>
      <c r="AI177" s="63"/>
      <c r="AJ177" s="123"/>
      <c r="AK177" s="115">
        <f t="shared" si="5"/>
        <v>64368000</v>
      </c>
      <c r="AL177" s="113"/>
      <c r="AM177" s="114">
        <v>0</v>
      </c>
      <c r="AN177" s="113">
        <v>0</v>
      </c>
      <c r="AO177" s="113">
        <v>10000000</v>
      </c>
      <c r="AP177" s="113">
        <f t="shared" si="2"/>
        <v>5000000</v>
      </c>
      <c r="AQ177" s="113">
        <f t="shared" ref="AQ177:AQ203" si="15">SUM(AK177:AN177,AP177)</f>
        <v>69368000</v>
      </c>
      <c r="AR177" s="63"/>
      <c r="AS177" s="63"/>
      <c r="AT177" s="63"/>
      <c r="AU177" s="63"/>
      <c r="AV177" s="144" t="s">
        <v>383</v>
      </c>
      <c r="AW177" s="121" t="s">
        <v>249</v>
      </c>
      <c r="AX177" s="63"/>
      <c r="AY177" s="63"/>
      <c r="AZ177" s="63"/>
      <c r="BA177" s="63"/>
      <c r="BB177" s="111"/>
      <c r="BC177" s="111"/>
      <c r="BD177" s="123"/>
      <c r="BE177" s="113"/>
    </row>
    <row r="178" spans="1:57">
      <c r="A178" s="63">
        <v>175</v>
      </c>
      <c r="B178" s="109">
        <v>46127</v>
      </c>
      <c r="C178" s="110">
        <v>4</v>
      </c>
      <c r="D178" s="64" t="s">
        <v>112</v>
      </c>
      <c r="E178" s="64" t="s">
        <v>157</v>
      </c>
      <c r="F178" s="63" t="s">
        <v>920</v>
      </c>
      <c r="G178" s="64" t="s">
        <v>921</v>
      </c>
      <c r="H178" s="63" t="s">
        <v>117</v>
      </c>
      <c r="I178" s="64" t="s">
        <v>53</v>
      </c>
      <c r="J178" s="64"/>
      <c r="K178" s="126" t="s">
        <v>117</v>
      </c>
      <c r="L178" s="64" t="s">
        <v>922</v>
      </c>
      <c r="M178" s="64" t="s">
        <v>120</v>
      </c>
      <c r="N178" s="64"/>
      <c r="O178" s="127">
        <v>46141</v>
      </c>
      <c r="P178" s="128">
        <v>819000000</v>
      </c>
      <c r="Q178" s="128">
        <v>49140000</v>
      </c>
      <c r="R178" s="208"/>
      <c r="S178" s="113"/>
      <c r="T178" s="114"/>
      <c r="U178" s="115"/>
      <c r="V178" s="116"/>
      <c r="W178" s="113"/>
      <c r="X178" s="113">
        <v>769860000</v>
      </c>
      <c r="Y178" s="113">
        <v>769860000</v>
      </c>
      <c r="Z178" s="113">
        <f t="shared" ref="Z178:Z203" si="16">X178-Y178</f>
        <v>0</v>
      </c>
      <c r="AA178" s="113">
        <v>769860000</v>
      </c>
      <c r="AB178" s="113">
        <v>786240000</v>
      </c>
      <c r="AC178" s="117"/>
      <c r="AD178" s="118">
        <v>0.04</v>
      </c>
      <c r="AE178" s="118"/>
      <c r="AF178" s="119">
        <v>0</v>
      </c>
      <c r="AG178" s="63"/>
      <c r="AH178" s="118">
        <v>0.04</v>
      </c>
      <c r="AI178" s="63"/>
      <c r="AJ178" s="123"/>
      <c r="AK178" s="115">
        <f t="shared" si="5"/>
        <v>47174400</v>
      </c>
      <c r="AL178" s="113"/>
      <c r="AM178" s="114">
        <v>15000000</v>
      </c>
      <c r="AN178" s="113">
        <v>0</v>
      </c>
      <c r="AO178" s="113">
        <v>0</v>
      </c>
      <c r="AP178" s="113">
        <f t="shared" si="2"/>
        <v>0</v>
      </c>
      <c r="AQ178" s="113">
        <f t="shared" si="15"/>
        <v>62174400</v>
      </c>
      <c r="AR178" s="63"/>
      <c r="AS178" s="63"/>
      <c r="AT178" s="63"/>
      <c r="AU178" s="63"/>
      <c r="AV178" s="120" t="s">
        <v>923</v>
      </c>
      <c r="AW178" s="121" t="s">
        <v>249</v>
      </c>
      <c r="AX178" s="63"/>
      <c r="AY178" s="63"/>
      <c r="AZ178" s="63"/>
      <c r="BA178" s="63"/>
      <c r="BB178" s="111"/>
      <c r="BC178" s="111"/>
      <c r="BD178" s="123"/>
      <c r="BE178" s="113"/>
    </row>
    <row r="179" spans="1:57">
      <c r="A179" s="63">
        <v>176</v>
      </c>
      <c r="B179" s="109">
        <v>46127</v>
      </c>
      <c r="C179" s="110">
        <v>4</v>
      </c>
      <c r="D179" s="64" t="s">
        <v>112</v>
      </c>
      <c r="E179" s="64" t="s">
        <v>135</v>
      </c>
      <c r="F179" s="63" t="s">
        <v>924</v>
      </c>
      <c r="G179" s="64" t="s">
        <v>925</v>
      </c>
      <c r="H179" s="63" t="s">
        <v>173</v>
      </c>
      <c r="I179" s="64" t="s">
        <v>105</v>
      </c>
      <c r="J179" s="64"/>
      <c r="K179" s="126" t="s">
        <v>161</v>
      </c>
      <c r="L179" s="64" t="s">
        <v>926</v>
      </c>
      <c r="M179" s="64" t="s">
        <v>120</v>
      </c>
      <c r="N179" s="64"/>
      <c r="O179" s="127">
        <v>46141</v>
      </c>
      <c r="P179" s="128">
        <v>745000000</v>
      </c>
      <c r="Q179" s="128">
        <v>44700000</v>
      </c>
      <c r="R179" s="208"/>
      <c r="S179" s="113"/>
      <c r="T179" s="114"/>
      <c r="U179" s="115"/>
      <c r="V179" s="116"/>
      <c r="W179" s="116">
        <v>12000000</v>
      </c>
      <c r="X179" s="113">
        <v>688300000</v>
      </c>
      <c r="Y179" s="113">
        <v>688300000</v>
      </c>
      <c r="Z179" s="113">
        <f t="shared" si="16"/>
        <v>0</v>
      </c>
      <c r="AA179" s="113">
        <v>700300000</v>
      </c>
      <c r="AB179" s="113">
        <v>715200000</v>
      </c>
      <c r="AC179" s="117"/>
      <c r="AD179" s="118">
        <v>0.04</v>
      </c>
      <c r="AE179" s="118"/>
      <c r="AF179" s="119">
        <v>0</v>
      </c>
      <c r="AG179" s="63"/>
      <c r="AH179" s="118">
        <v>0.04</v>
      </c>
      <c r="AI179" s="63"/>
      <c r="AJ179" s="123"/>
      <c r="AK179" s="115">
        <f t="shared" si="5"/>
        <v>42912000</v>
      </c>
      <c r="AL179" s="113"/>
      <c r="AM179" s="114">
        <v>0</v>
      </c>
      <c r="AN179" s="113">
        <v>0</v>
      </c>
      <c r="AO179" s="113">
        <v>0</v>
      </c>
      <c r="AP179" s="113">
        <f t="shared" si="2"/>
        <v>0</v>
      </c>
      <c r="AQ179" s="113">
        <f t="shared" si="15"/>
        <v>42912000</v>
      </c>
      <c r="AR179" s="63"/>
      <c r="AS179" s="63"/>
      <c r="AT179" s="63"/>
      <c r="AU179" s="63"/>
      <c r="AV179" s="144" t="s">
        <v>383</v>
      </c>
      <c r="AW179" s="121" t="s">
        <v>249</v>
      </c>
      <c r="AX179" s="63"/>
      <c r="AY179" s="63"/>
      <c r="AZ179" s="63"/>
      <c r="BA179" s="63"/>
      <c r="BB179" s="111"/>
      <c r="BC179" s="111"/>
      <c r="BD179" s="123"/>
      <c r="BE179" s="113"/>
    </row>
    <row r="180" spans="1:57">
      <c r="A180" s="63">
        <v>177</v>
      </c>
      <c r="B180" s="109">
        <v>46127</v>
      </c>
      <c r="C180" s="110">
        <v>4</v>
      </c>
      <c r="D180" s="64" t="s">
        <v>112</v>
      </c>
      <c r="E180" s="64" t="s">
        <v>136</v>
      </c>
      <c r="F180" s="63" t="s">
        <v>927</v>
      </c>
      <c r="G180" s="64" t="s">
        <v>928</v>
      </c>
      <c r="H180" s="63" t="s">
        <v>155</v>
      </c>
      <c r="I180" s="64" t="s">
        <v>134</v>
      </c>
      <c r="J180" s="64"/>
      <c r="K180" s="126" t="s">
        <v>108</v>
      </c>
      <c r="L180" s="64" t="s">
        <v>929</v>
      </c>
      <c r="M180" s="64" t="s">
        <v>120</v>
      </c>
      <c r="N180" s="64"/>
      <c r="O180" s="127">
        <v>46142</v>
      </c>
      <c r="P180" s="128">
        <v>302000000</v>
      </c>
      <c r="Q180" s="128">
        <v>18120000</v>
      </c>
      <c r="R180" s="208"/>
      <c r="S180" s="113"/>
      <c r="T180" s="114"/>
      <c r="U180" s="115"/>
      <c r="V180" s="116"/>
      <c r="W180" s="116">
        <v>6000000</v>
      </c>
      <c r="X180" s="113">
        <v>277880000</v>
      </c>
      <c r="Y180" s="113">
        <v>277880000</v>
      </c>
      <c r="Z180" s="113">
        <f t="shared" si="16"/>
        <v>0</v>
      </c>
      <c r="AA180" s="113">
        <v>283880000</v>
      </c>
      <c r="AB180" s="113">
        <v>289920000</v>
      </c>
      <c r="AC180" s="117"/>
      <c r="AD180" s="118">
        <v>0.04</v>
      </c>
      <c r="AE180" s="118"/>
      <c r="AF180" s="119">
        <v>0</v>
      </c>
      <c r="AG180" s="63"/>
      <c r="AH180" s="118">
        <v>0.04</v>
      </c>
      <c r="AI180" s="63"/>
      <c r="AJ180" s="123"/>
      <c r="AK180" s="115">
        <f t="shared" si="5"/>
        <v>17395200</v>
      </c>
      <c r="AL180" s="113"/>
      <c r="AM180" s="114">
        <v>0</v>
      </c>
      <c r="AN180" s="113">
        <v>0</v>
      </c>
      <c r="AO180" s="113">
        <v>0</v>
      </c>
      <c r="AP180" s="113">
        <f t="shared" si="2"/>
        <v>0</v>
      </c>
      <c r="AQ180" s="113">
        <f t="shared" si="15"/>
        <v>17395200</v>
      </c>
      <c r="AR180" s="63"/>
      <c r="AS180" s="63"/>
      <c r="AT180" s="63"/>
      <c r="AU180" s="63"/>
      <c r="AV180" s="121" t="s">
        <v>249</v>
      </c>
      <c r="AW180" s="121" t="s">
        <v>249</v>
      </c>
      <c r="AX180" s="63"/>
      <c r="AY180" s="63"/>
      <c r="AZ180" s="63"/>
      <c r="BA180" s="63"/>
      <c r="BB180" s="111"/>
      <c r="BC180" s="111"/>
      <c r="BD180" s="123"/>
      <c r="BE180" s="113"/>
    </row>
    <row r="181" spans="1:57">
      <c r="A181" s="63">
        <v>178</v>
      </c>
      <c r="B181" s="109">
        <v>46127</v>
      </c>
      <c r="C181" s="110">
        <v>1</v>
      </c>
      <c r="D181" s="64" t="s">
        <v>138</v>
      </c>
      <c r="E181" s="64" t="s">
        <v>190</v>
      </c>
      <c r="F181" s="63" t="s">
        <v>930</v>
      </c>
      <c r="G181" s="64" t="s">
        <v>931</v>
      </c>
      <c r="H181" s="63" t="s">
        <v>155</v>
      </c>
      <c r="I181" s="64" t="s">
        <v>191</v>
      </c>
      <c r="J181" s="64"/>
      <c r="K181" s="126" t="s">
        <v>102</v>
      </c>
      <c r="L181" s="64" t="s">
        <v>932</v>
      </c>
      <c r="M181" s="64" t="s">
        <v>107</v>
      </c>
      <c r="N181" s="64"/>
      <c r="O181" s="127">
        <v>0</v>
      </c>
      <c r="P181" s="128">
        <v>310000000</v>
      </c>
      <c r="Q181" s="128">
        <v>18600000</v>
      </c>
      <c r="R181" s="208"/>
      <c r="S181" s="165"/>
      <c r="T181" s="114">
        <v>9300000</v>
      </c>
      <c r="U181" s="115"/>
      <c r="V181" s="116">
        <v>18000000</v>
      </c>
      <c r="W181" s="113"/>
      <c r="X181" s="113">
        <v>264100000</v>
      </c>
      <c r="Y181" s="113">
        <v>264100000</v>
      </c>
      <c r="Z181" s="113">
        <f t="shared" si="16"/>
        <v>0</v>
      </c>
      <c r="AA181" s="113">
        <v>264100000</v>
      </c>
      <c r="AB181" s="113">
        <v>297600000</v>
      </c>
      <c r="AC181" s="117"/>
      <c r="AD181" s="118">
        <v>0.04</v>
      </c>
      <c r="AE181" s="118"/>
      <c r="AF181" s="119">
        <v>0</v>
      </c>
      <c r="AG181" s="63"/>
      <c r="AH181" s="118">
        <v>0.04</v>
      </c>
      <c r="AI181" s="63"/>
      <c r="AJ181" s="123"/>
      <c r="AK181" s="115">
        <f t="shared" si="5"/>
        <v>44064000</v>
      </c>
      <c r="AL181" s="113"/>
      <c r="AM181" s="114">
        <v>0</v>
      </c>
      <c r="AN181" s="113">
        <v>0</v>
      </c>
      <c r="AO181" s="113">
        <v>0</v>
      </c>
      <c r="AP181" s="113">
        <f t="shared" si="2"/>
        <v>0</v>
      </c>
      <c r="AQ181" s="113">
        <f t="shared" si="15"/>
        <v>44064000</v>
      </c>
      <c r="AR181" s="63"/>
      <c r="AS181" s="161"/>
      <c r="AT181" s="161"/>
      <c r="AU181" s="161"/>
      <c r="AV181" s="120"/>
      <c r="AW181" s="121"/>
      <c r="AX181" s="161"/>
      <c r="AY181" s="166"/>
      <c r="AZ181" s="161"/>
      <c r="BA181" s="161"/>
      <c r="BB181" s="111"/>
      <c r="BC181" s="111"/>
      <c r="BD181" s="118">
        <v>0.01</v>
      </c>
      <c r="BE181" s="113">
        <f>BD181*AA181</f>
        <v>2641000</v>
      </c>
    </row>
    <row r="182" spans="1:57">
      <c r="A182" s="63">
        <v>179</v>
      </c>
      <c r="B182" s="109">
        <v>46127</v>
      </c>
      <c r="C182" s="110">
        <v>1</v>
      </c>
      <c r="D182" s="64" t="s">
        <v>138</v>
      </c>
      <c r="E182" s="64" t="s">
        <v>185</v>
      </c>
      <c r="F182" s="63" t="s">
        <v>933</v>
      </c>
      <c r="G182" s="64" t="s">
        <v>934</v>
      </c>
      <c r="H182" s="63" t="s">
        <v>155</v>
      </c>
      <c r="I182" s="64" t="s">
        <v>140</v>
      </c>
      <c r="J182" s="64"/>
      <c r="K182" s="126" t="s">
        <v>121</v>
      </c>
      <c r="L182" s="64" t="s">
        <v>935</v>
      </c>
      <c r="M182" s="64" t="s">
        <v>107</v>
      </c>
      <c r="N182" s="64"/>
      <c r="O182" s="127">
        <v>0</v>
      </c>
      <c r="P182" s="128">
        <v>323000000</v>
      </c>
      <c r="Q182" s="128">
        <v>19380000</v>
      </c>
      <c r="R182" s="208"/>
      <c r="S182" s="165"/>
      <c r="T182" s="114">
        <v>9690000</v>
      </c>
      <c r="U182" s="138">
        <v>0.05</v>
      </c>
      <c r="V182" s="113"/>
      <c r="W182" s="113"/>
      <c r="X182" s="113">
        <v>277780000</v>
      </c>
      <c r="Y182" s="113">
        <v>277780000</v>
      </c>
      <c r="Z182" s="113">
        <f t="shared" si="16"/>
        <v>0</v>
      </c>
      <c r="AA182" s="113">
        <v>277780000</v>
      </c>
      <c r="AB182" s="113">
        <v>310080000</v>
      </c>
      <c r="AC182" s="117"/>
      <c r="AD182" s="118">
        <v>0.04</v>
      </c>
      <c r="AE182" s="118"/>
      <c r="AF182" s="119">
        <v>0</v>
      </c>
      <c r="AG182" s="63"/>
      <c r="AH182" s="118">
        <v>0.04</v>
      </c>
      <c r="AI182" s="63"/>
      <c r="AJ182" s="123">
        <v>2.5000000000000001E-2</v>
      </c>
      <c r="AK182" s="115">
        <f t="shared" si="5"/>
        <v>35336200</v>
      </c>
      <c r="AL182" s="113"/>
      <c r="AM182" s="114">
        <v>0</v>
      </c>
      <c r="AN182" s="113">
        <v>0</v>
      </c>
      <c r="AO182" s="113">
        <v>0</v>
      </c>
      <c r="AP182" s="113">
        <f t="shared" si="2"/>
        <v>0</v>
      </c>
      <c r="AQ182" s="113">
        <f t="shared" si="15"/>
        <v>35336200</v>
      </c>
      <c r="AR182" s="63"/>
      <c r="AS182" s="161"/>
      <c r="AT182" s="161"/>
      <c r="AU182" s="161"/>
      <c r="AV182" s="120"/>
      <c r="AW182" s="121"/>
      <c r="AX182" s="161"/>
      <c r="AY182" s="166"/>
      <c r="AZ182" s="161"/>
      <c r="BA182" s="161"/>
      <c r="BB182" s="111"/>
      <c r="BC182" s="111"/>
      <c r="BD182" s="118">
        <v>0.01</v>
      </c>
      <c r="BE182" s="113">
        <f>BD182*AA182</f>
        <v>2777800</v>
      </c>
    </row>
    <row r="183" spans="1:57">
      <c r="A183" s="63">
        <v>180</v>
      </c>
      <c r="B183" s="109">
        <v>46127</v>
      </c>
      <c r="C183" s="110">
        <v>1</v>
      </c>
      <c r="D183" s="64" t="s">
        <v>138</v>
      </c>
      <c r="E183" s="64" t="s">
        <v>187</v>
      </c>
      <c r="F183" s="63" t="s">
        <v>936</v>
      </c>
      <c r="G183" s="64" t="s">
        <v>937</v>
      </c>
      <c r="H183" s="63" t="s">
        <v>52</v>
      </c>
      <c r="I183" s="64" t="s">
        <v>114</v>
      </c>
      <c r="J183" s="64"/>
      <c r="K183" s="126" t="s">
        <v>114</v>
      </c>
      <c r="L183" s="64" t="s">
        <v>938</v>
      </c>
      <c r="M183" s="64" t="s">
        <v>120</v>
      </c>
      <c r="N183" s="64"/>
      <c r="O183" s="127">
        <v>0</v>
      </c>
      <c r="P183" s="128">
        <v>749000000</v>
      </c>
      <c r="Q183" s="128">
        <v>44940000</v>
      </c>
      <c r="R183" s="208"/>
      <c r="S183" s="165"/>
      <c r="T183" s="114"/>
      <c r="U183" s="115"/>
      <c r="V183" s="113"/>
      <c r="W183" s="113"/>
      <c r="X183" s="113">
        <v>704060000</v>
      </c>
      <c r="Y183" s="113">
        <v>704060000</v>
      </c>
      <c r="Z183" s="113">
        <f t="shared" si="16"/>
        <v>0</v>
      </c>
      <c r="AA183" s="113">
        <v>704060000</v>
      </c>
      <c r="AB183" s="113">
        <v>719040000</v>
      </c>
      <c r="AC183" s="117"/>
      <c r="AD183" s="118">
        <v>0.04</v>
      </c>
      <c r="AE183" s="118"/>
      <c r="AF183" s="119">
        <v>0</v>
      </c>
      <c r="AG183" s="63"/>
      <c r="AH183" s="118">
        <v>0.04</v>
      </c>
      <c r="AI183" s="63"/>
      <c r="AJ183" s="123"/>
      <c r="AK183" s="115">
        <f t="shared" si="5"/>
        <v>43142400</v>
      </c>
      <c r="AL183" s="113"/>
      <c r="AM183" s="114">
        <v>0</v>
      </c>
      <c r="AN183" s="113">
        <v>0</v>
      </c>
      <c r="AO183" s="113">
        <v>0</v>
      </c>
      <c r="AP183" s="113">
        <f t="shared" si="2"/>
        <v>0</v>
      </c>
      <c r="AQ183" s="113">
        <f t="shared" si="15"/>
        <v>43142400</v>
      </c>
      <c r="AR183" s="63"/>
      <c r="AS183" s="161"/>
      <c r="AT183" s="161"/>
      <c r="AU183" s="161"/>
      <c r="AV183" s="120"/>
      <c r="AW183" s="121"/>
      <c r="AX183" s="161"/>
      <c r="AY183" s="166"/>
      <c r="AZ183" s="161"/>
      <c r="BA183" s="161"/>
      <c r="BB183" s="111"/>
      <c r="BC183" s="111"/>
      <c r="BD183" s="123"/>
      <c r="BE183" s="113"/>
    </row>
    <row r="184" spans="1:57">
      <c r="A184" s="63">
        <v>181</v>
      </c>
      <c r="B184" s="109">
        <v>46127</v>
      </c>
      <c r="C184" s="110">
        <v>1</v>
      </c>
      <c r="D184" s="64" t="s">
        <v>138</v>
      </c>
      <c r="E184" s="64" t="s">
        <v>145</v>
      </c>
      <c r="F184" s="63" t="s">
        <v>939</v>
      </c>
      <c r="G184" s="64" t="s">
        <v>940</v>
      </c>
      <c r="H184" s="63" t="s">
        <v>52</v>
      </c>
      <c r="I184" s="64" t="s">
        <v>114</v>
      </c>
      <c r="J184" s="64"/>
      <c r="K184" s="126" t="s">
        <v>114</v>
      </c>
      <c r="L184" s="64" t="s">
        <v>941</v>
      </c>
      <c r="M184" s="64" t="s">
        <v>107</v>
      </c>
      <c r="N184" s="64"/>
      <c r="O184" s="127">
        <v>0</v>
      </c>
      <c r="P184" s="128">
        <v>749000000</v>
      </c>
      <c r="Q184" s="128">
        <v>44940000</v>
      </c>
      <c r="R184" s="208"/>
      <c r="S184" s="116">
        <v>5.0000000000000001E-3</v>
      </c>
      <c r="T184" s="114"/>
      <c r="U184" s="138"/>
      <c r="V184" s="116">
        <v>15000000</v>
      </c>
      <c r="W184" s="116">
        <v>10000000</v>
      </c>
      <c r="X184" s="113">
        <v>675614700</v>
      </c>
      <c r="Y184" s="113">
        <v>675614700</v>
      </c>
      <c r="Z184" s="113">
        <f t="shared" si="16"/>
        <v>0</v>
      </c>
      <c r="AA184" s="113">
        <v>685614700</v>
      </c>
      <c r="AB184" s="113">
        <v>719040000</v>
      </c>
      <c r="AC184" s="117"/>
      <c r="AD184" s="118">
        <v>0.04</v>
      </c>
      <c r="AE184" s="118"/>
      <c r="AF184" s="119">
        <v>0</v>
      </c>
      <c r="AG184" s="63"/>
      <c r="AH184" s="118">
        <v>0.04</v>
      </c>
      <c r="AI184" s="63"/>
      <c r="AJ184" s="123"/>
      <c r="AK184" s="115">
        <f t="shared" si="5"/>
        <v>60849888</v>
      </c>
      <c r="AL184" s="116">
        <f>3445300*40%</f>
        <v>1378120</v>
      </c>
      <c r="AM184" s="114">
        <v>0</v>
      </c>
      <c r="AN184" s="113">
        <v>0</v>
      </c>
      <c r="AO184" s="113">
        <v>0</v>
      </c>
      <c r="AP184" s="113">
        <f t="shared" si="2"/>
        <v>0</v>
      </c>
      <c r="AQ184" s="113">
        <f t="shared" si="15"/>
        <v>62228008</v>
      </c>
      <c r="AR184" s="63"/>
      <c r="AS184" s="161"/>
      <c r="AT184" s="161"/>
      <c r="AU184" s="161"/>
      <c r="AV184" s="120"/>
      <c r="AW184" s="121"/>
      <c r="AX184" s="161"/>
      <c r="AY184" s="166"/>
      <c r="AZ184" s="161"/>
      <c r="BA184" s="161"/>
      <c r="BB184" s="111"/>
      <c r="BC184" s="111"/>
      <c r="BD184" s="118">
        <v>0.01</v>
      </c>
      <c r="BE184" s="113">
        <f>BD184*AA184</f>
        <v>6856147</v>
      </c>
    </row>
    <row r="185" spans="1:57">
      <c r="A185" s="63">
        <v>182</v>
      </c>
      <c r="B185" s="109">
        <v>46127</v>
      </c>
      <c r="C185" s="110">
        <v>1</v>
      </c>
      <c r="D185" s="64" t="s">
        <v>138</v>
      </c>
      <c r="E185" s="64" t="s">
        <v>194</v>
      </c>
      <c r="F185" s="63" t="s">
        <v>942</v>
      </c>
      <c r="G185" s="64" t="s">
        <v>943</v>
      </c>
      <c r="H185" s="63" t="s">
        <v>117</v>
      </c>
      <c r="I185" s="64" t="s">
        <v>53</v>
      </c>
      <c r="J185" s="64"/>
      <c r="K185" s="126" t="s">
        <v>117</v>
      </c>
      <c r="L185" s="64" t="s">
        <v>944</v>
      </c>
      <c r="M185" s="64" t="s">
        <v>120</v>
      </c>
      <c r="N185" s="64"/>
      <c r="O185" s="127">
        <v>0</v>
      </c>
      <c r="P185" s="128">
        <v>819000000</v>
      </c>
      <c r="Q185" s="128">
        <v>49140000</v>
      </c>
      <c r="R185" s="208"/>
      <c r="S185" s="165"/>
      <c r="T185" s="114">
        <v>24570000</v>
      </c>
      <c r="U185" s="115"/>
      <c r="V185" s="113"/>
      <c r="W185" s="113"/>
      <c r="X185" s="113">
        <v>745290000</v>
      </c>
      <c r="Y185" s="113">
        <v>745290000</v>
      </c>
      <c r="Z185" s="113">
        <f t="shared" si="16"/>
        <v>0</v>
      </c>
      <c r="AA185" s="113">
        <v>745290000</v>
      </c>
      <c r="AB185" s="113">
        <v>786240000</v>
      </c>
      <c r="AC185" s="117"/>
      <c r="AD185" s="118">
        <v>0.04</v>
      </c>
      <c r="AE185" s="118"/>
      <c r="AF185" s="119">
        <v>0</v>
      </c>
      <c r="AG185" s="63"/>
      <c r="AH185" s="118">
        <v>0.04</v>
      </c>
      <c r="AI185" s="63"/>
      <c r="AJ185" s="123"/>
      <c r="AK185" s="115">
        <f t="shared" si="5"/>
        <v>70761600</v>
      </c>
      <c r="AL185" s="113"/>
      <c r="AM185" s="114">
        <v>0</v>
      </c>
      <c r="AN185" s="113">
        <v>15000000</v>
      </c>
      <c r="AO185" s="113">
        <v>0</v>
      </c>
      <c r="AP185" s="113">
        <f t="shared" si="2"/>
        <v>0</v>
      </c>
      <c r="AQ185" s="113">
        <f t="shared" si="15"/>
        <v>85761600</v>
      </c>
      <c r="AR185" s="63"/>
      <c r="AS185" s="161"/>
      <c r="AT185" s="161"/>
      <c r="AU185" s="161"/>
      <c r="AV185" s="120"/>
      <c r="AW185" s="121"/>
      <c r="AX185" s="161"/>
      <c r="AY185" s="166"/>
      <c r="AZ185" s="161"/>
      <c r="BA185" s="161"/>
      <c r="BB185" s="111"/>
      <c r="BC185" s="111"/>
      <c r="BD185" s="123"/>
      <c r="BE185" s="113"/>
    </row>
    <row r="186" spans="1:57">
      <c r="A186" s="63">
        <v>183</v>
      </c>
      <c r="B186" s="109">
        <v>46127</v>
      </c>
      <c r="C186" s="110">
        <v>1</v>
      </c>
      <c r="D186" s="64" t="s">
        <v>138</v>
      </c>
      <c r="E186" s="64" t="s">
        <v>146</v>
      </c>
      <c r="F186" s="63" t="s">
        <v>945</v>
      </c>
      <c r="G186" s="64" t="s">
        <v>946</v>
      </c>
      <c r="H186" s="63" t="s">
        <v>155</v>
      </c>
      <c r="I186" s="64" t="s">
        <v>140</v>
      </c>
      <c r="J186" s="64"/>
      <c r="K186" s="126" t="s">
        <v>106</v>
      </c>
      <c r="L186" s="64" t="s">
        <v>947</v>
      </c>
      <c r="M186" s="64" t="s">
        <v>123</v>
      </c>
      <c r="N186" s="64"/>
      <c r="O186" s="127">
        <v>0</v>
      </c>
      <c r="P186" s="128">
        <v>315000000</v>
      </c>
      <c r="Q186" s="128">
        <v>18900000</v>
      </c>
      <c r="R186" s="208"/>
      <c r="S186" s="165"/>
      <c r="T186" s="114"/>
      <c r="U186" s="115"/>
      <c r="V186" s="113"/>
      <c r="W186" s="113"/>
      <c r="X186" s="113">
        <v>296100000</v>
      </c>
      <c r="Y186" s="113">
        <v>296100000</v>
      </c>
      <c r="Z186" s="113">
        <f t="shared" si="16"/>
        <v>0</v>
      </c>
      <c r="AA186" s="113">
        <v>296100000</v>
      </c>
      <c r="AB186" s="113">
        <v>302400000</v>
      </c>
      <c r="AC186" s="117"/>
      <c r="AD186" s="118">
        <v>0.04</v>
      </c>
      <c r="AE186" s="118"/>
      <c r="AF186" s="119">
        <v>0</v>
      </c>
      <c r="AG186" s="63"/>
      <c r="AH186" s="118">
        <v>0.04</v>
      </c>
      <c r="AI186" s="63"/>
      <c r="AJ186" s="123"/>
      <c r="AK186" s="115">
        <f t="shared" si="5"/>
        <v>18144000</v>
      </c>
      <c r="AL186" s="113"/>
      <c r="AM186" s="114">
        <v>0</v>
      </c>
      <c r="AN186" s="113">
        <v>0</v>
      </c>
      <c r="AO186" s="113">
        <v>0</v>
      </c>
      <c r="AP186" s="113">
        <f t="shared" si="2"/>
        <v>0</v>
      </c>
      <c r="AQ186" s="113">
        <f t="shared" si="15"/>
        <v>18144000</v>
      </c>
      <c r="AR186" s="63"/>
      <c r="AS186" s="161"/>
      <c r="AT186" s="161"/>
      <c r="AU186" s="161"/>
      <c r="AV186" s="120"/>
      <c r="AW186" s="121"/>
      <c r="AX186" s="161"/>
      <c r="AY186" s="166"/>
      <c r="AZ186" s="161"/>
      <c r="BA186" s="161"/>
      <c r="BB186" s="111"/>
      <c r="BC186" s="111"/>
      <c r="BD186" s="123"/>
      <c r="BE186" s="113"/>
    </row>
    <row r="187" spans="1:57">
      <c r="A187" s="63">
        <v>184</v>
      </c>
      <c r="B187" s="109">
        <v>46127</v>
      </c>
      <c r="C187" s="110">
        <v>1</v>
      </c>
      <c r="D187" s="64" t="s">
        <v>138</v>
      </c>
      <c r="E187" s="64" t="s">
        <v>186</v>
      </c>
      <c r="F187" s="63" t="s">
        <v>948</v>
      </c>
      <c r="G187" s="64" t="s">
        <v>949</v>
      </c>
      <c r="H187" s="63" t="s">
        <v>173</v>
      </c>
      <c r="I187" s="64" t="s">
        <v>195</v>
      </c>
      <c r="J187" s="64"/>
      <c r="K187" s="126" t="s">
        <v>159</v>
      </c>
      <c r="L187" s="64" t="s">
        <v>950</v>
      </c>
      <c r="M187" s="64" t="s">
        <v>120</v>
      </c>
      <c r="N187" s="64"/>
      <c r="O187" s="127">
        <v>0</v>
      </c>
      <c r="P187" s="128">
        <v>689000000</v>
      </c>
      <c r="Q187" s="128">
        <v>41340000</v>
      </c>
      <c r="R187" s="208"/>
      <c r="S187" s="165"/>
      <c r="T187" s="114">
        <v>20670000</v>
      </c>
      <c r="U187" s="115"/>
      <c r="V187" s="113"/>
      <c r="W187" s="116">
        <v>10000000</v>
      </c>
      <c r="X187" s="113">
        <v>616990000</v>
      </c>
      <c r="Y187" s="113">
        <v>616990000</v>
      </c>
      <c r="Z187" s="113">
        <f t="shared" si="16"/>
        <v>0</v>
      </c>
      <c r="AA187" s="113">
        <v>626990000</v>
      </c>
      <c r="AB187" s="113">
        <v>661440000</v>
      </c>
      <c r="AC187" s="117"/>
      <c r="AD187" s="118">
        <v>0.04</v>
      </c>
      <c r="AE187" s="118"/>
      <c r="AF187" s="119">
        <v>0</v>
      </c>
      <c r="AG187" s="63"/>
      <c r="AH187" s="118">
        <v>0.04</v>
      </c>
      <c r="AI187" s="63"/>
      <c r="AJ187" s="123"/>
      <c r="AK187" s="115">
        <f t="shared" si="5"/>
        <v>59529600</v>
      </c>
      <c r="AL187" s="113"/>
      <c r="AM187" s="114">
        <v>0</v>
      </c>
      <c r="AN187" s="113">
        <v>0</v>
      </c>
      <c r="AO187" s="113">
        <v>0</v>
      </c>
      <c r="AP187" s="113">
        <f t="shared" si="2"/>
        <v>0</v>
      </c>
      <c r="AQ187" s="113">
        <f t="shared" si="15"/>
        <v>59529600</v>
      </c>
      <c r="AR187" s="63"/>
      <c r="AS187" s="161"/>
      <c r="AT187" s="161"/>
      <c r="AU187" s="161"/>
      <c r="AV187" s="120"/>
      <c r="AW187" s="121"/>
      <c r="AX187" s="161"/>
      <c r="AY187" s="166"/>
      <c r="AZ187" s="161"/>
      <c r="BA187" s="161"/>
      <c r="BB187" s="111"/>
      <c r="BC187" s="111"/>
      <c r="BD187" s="123"/>
      <c r="BE187" s="113"/>
    </row>
    <row r="188" spans="1:57">
      <c r="A188" s="63">
        <v>185</v>
      </c>
      <c r="B188" s="109">
        <v>46127</v>
      </c>
      <c r="C188" s="110">
        <v>1</v>
      </c>
      <c r="D188" s="64" t="s">
        <v>138</v>
      </c>
      <c r="E188" s="64" t="s">
        <v>144</v>
      </c>
      <c r="F188" s="63" t="s">
        <v>951</v>
      </c>
      <c r="G188" s="64" t="s">
        <v>952</v>
      </c>
      <c r="H188" s="63" t="s">
        <v>173</v>
      </c>
      <c r="I188" s="64" t="s">
        <v>197</v>
      </c>
      <c r="J188" s="64"/>
      <c r="K188" s="126" t="s">
        <v>161</v>
      </c>
      <c r="L188" s="64" t="s">
        <v>953</v>
      </c>
      <c r="M188" s="64" t="s">
        <v>107</v>
      </c>
      <c r="N188" s="64"/>
      <c r="O188" s="127">
        <v>0</v>
      </c>
      <c r="P188" s="128">
        <v>745000000</v>
      </c>
      <c r="Q188" s="128"/>
      <c r="R188" s="208">
        <v>7.0000000000000007E-2</v>
      </c>
      <c r="S188" s="165"/>
      <c r="T188" s="114">
        <v>22350000</v>
      </c>
      <c r="U188" s="115"/>
      <c r="V188" s="113"/>
      <c r="W188" s="116">
        <v>10000000</v>
      </c>
      <c r="X188" s="113">
        <v>712650000</v>
      </c>
      <c r="Y188" s="113">
        <v>712650000</v>
      </c>
      <c r="Z188" s="113">
        <f t="shared" si="16"/>
        <v>0</v>
      </c>
      <c r="AA188" s="113">
        <v>722650000</v>
      </c>
      <c r="AB188" s="113">
        <v>715200000</v>
      </c>
      <c r="AC188" s="117"/>
      <c r="AD188" s="118">
        <v>0.04</v>
      </c>
      <c r="AE188" s="118"/>
      <c r="AF188" s="119">
        <v>0</v>
      </c>
      <c r="AG188" s="63"/>
      <c r="AH188" s="118">
        <v>0.04</v>
      </c>
      <c r="AI188" s="63"/>
      <c r="AJ188" s="123"/>
      <c r="AK188" s="115">
        <f t="shared" si="5"/>
        <v>21456000</v>
      </c>
      <c r="AL188" s="113"/>
      <c r="AM188" s="114">
        <v>0</v>
      </c>
      <c r="AN188" s="113">
        <v>0</v>
      </c>
      <c r="AO188" s="113">
        <v>10000000</v>
      </c>
      <c r="AP188" s="113">
        <f t="shared" si="2"/>
        <v>5000000</v>
      </c>
      <c r="AQ188" s="113">
        <f t="shared" si="15"/>
        <v>26456000</v>
      </c>
      <c r="AR188" s="63"/>
      <c r="AS188" s="161"/>
      <c r="AT188" s="161"/>
      <c r="AU188" s="161"/>
      <c r="AV188" s="120"/>
      <c r="AW188" s="121"/>
      <c r="AX188" s="161"/>
      <c r="AY188" s="166"/>
      <c r="AZ188" s="161"/>
      <c r="BA188" s="161"/>
      <c r="BB188" s="111"/>
      <c r="BC188" s="111"/>
      <c r="BD188" s="118">
        <v>0.01</v>
      </c>
      <c r="BE188" s="113">
        <f>BD188*AA188</f>
        <v>7226500</v>
      </c>
    </row>
    <row r="189" spans="1:57">
      <c r="A189" s="63">
        <v>186</v>
      </c>
      <c r="B189" s="109">
        <v>46127</v>
      </c>
      <c r="C189" s="110">
        <v>1</v>
      </c>
      <c r="D189" s="64" t="s">
        <v>138</v>
      </c>
      <c r="E189" s="64" t="s">
        <v>139</v>
      </c>
      <c r="F189" s="63" t="s">
        <v>954</v>
      </c>
      <c r="G189" s="64" t="s">
        <v>955</v>
      </c>
      <c r="H189" s="63" t="s">
        <v>117</v>
      </c>
      <c r="I189" s="64" t="s">
        <v>53</v>
      </c>
      <c r="J189" s="64"/>
      <c r="K189" s="126" t="s">
        <v>117</v>
      </c>
      <c r="L189" s="64" t="s">
        <v>956</v>
      </c>
      <c r="M189" s="64" t="s">
        <v>120</v>
      </c>
      <c r="N189" s="64"/>
      <c r="O189" s="127">
        <v>0</v>
      </c>
      <c r="P189" s="128">
        <v>819000000</v>
      </c>
      <c r="Q189" s="128">
        <v>49140000</v>
      </c>
      <c r="R189" s="208"/>
      <c r="S189" s="165"/>
      <c r="T189" s="114">
        <v>24570000</v>
      </c>
      <c r="U189" s="115"/>
      <c r="V189" s="113"/>
      <c r="W189" s="116">
        <v>7000000</v>
      </c>
      <c r="X189" s="113">
        <v>738290000</v>
      </c>
      <c r="Y189" s="113">
        <v>738290000</v>
      </c>
      <c r="Z189" s="113">
        <f t="shared" si="16"/>
        <v>0</v>
      </c>
      <c r="AA189" s="113">
        <v>745290000</v>
      </c>
      <c r="AB189" s="113">
        <v>786240000</v>
      </c>
      <c r="AC189" s="117"/>
      <c r="AD189" s="118">
        <v>0.04</v>
      </c>
      <c r="AE189" s="118"/>
      <c r="AF189" s="119">
        <v>0</v>
      </c>
      <c r="AG189" s="63"/>
      <c r="AH189" s="118">
        <v>0.04</v>
      </c>
      <c r="AI189" s="63"/>
      <c r="AJ189" s="123"/>
      <c r="AK189" s="115">
        <f t="shared" si="5"/>
        <v>70761600</v>
      </c>
      <c r="AL189" s="113"/>
      <c r="AM189" s="114">
        <v>0</v>
      </c>
      <c r="AN189" s="113">
        <v>0</v>
      </c>
      <c r="AO189" s="113">
        <v>0</v>
      </c>
      <c r="AP189" s="113">
        <f t="shared" si="2"/>
        <v>0</v>
      </c>
      <c r="AQ189" s="113">
        <f t="shared" si="15"/>
        <v>70761600</v>
      </c>
      <c r="AR189" s="63"/>
      <c r="AS189" s="161"/>
      <c r="AT189" s="161"/>
      <c r="AU189" s="161"/>
      <c r="AV189" s="120"/>
      <c r="AW189" s="121"/>
      <c r="AX189" s="161"/>
      <c r="AY189" s="166"/>
      <c r="AZ189" s="161"/>
      <c r="BA189" s="161"/>
      <c r="BB189" s="111"/>
      <c r="BC189" s="111"/>
      <c r="BD189" s="123"/>
      <c r="BE189" s="113"/>
    </row>
    <row r="190" spans="1:57">
      <c r="A190" s="63">
        <v>187</v>
      </c>
      <c r="B190" s="109">
        <v>46127</v>
      </c>
      <c r="C190" s="110">
        <v>1</v>
      </c>
      <c r="D190" s="64" t="s">
        <v>138</v>
      </c>
      <c r="E190" s="64" t="s">
        <v>144</v>
      </c>
      <c r="F190" s="63" t="s">
        <v>957</v>
      </c>
      <c r="G190" s="64" t="s">
        <v>958</v>
      </c>
      <c r="H190" s="63" t="s">
        <v>52</v>
      </c>
      <c r="I190" s="64" t="s">
        <v>114</v>
      </c>
      <c r="J190" s="64"/>
      <c r="K190" s="126" t="s">
        <v>114</v>
      </c>
      <c r="L190" s="64" t="s">
        <v>959</v>
      </c>
      <c r="M190" s="64" t="s">
        <v>120</v>
      </c>
      <c r="N190" s="64"/>
      <c r="O190" s="127">
        <v>0</v>
      </c>
      <c r="P190" s="128">
        <v>749000000</v>
      </c>
      <c r="Q190" s="128">
        <v>44940000</v>
      </c>
      <c r="R190" s="208"/>
      <c r="S190" s="165"/>
      <c r="T190" s="114">
        <v>22470000</v>
      </c>
      <c r="U190" s="115"/>
      <c r="V190" s="113"/>
      <c r="W190" s="116">
        <v>12000000</v>
      </c>
      <c r="X190" s="113">
        <v>669590000</v>
      </c>
      <c r="Y190" s="113">
        <v>669590000</v>
      </c>
      <c r="Z190" s="113">
        <f t="shared" si="16"/>
        <v>0</v>
      </c>
      <c r="AA190" s="113">
        <v>681590000</v>
      </c>
      <c r="AB190" s="113">
        <v>719040000</v>
      </c>
      <c r="AC190" s="117"/>
      <c r="AD190" s="118">
        <v>0.04</v>
      </c>
      <c r="AE190" s="118"/>
      <c r="AF190" s="119">
        <v>0</v>
      </c>
      <c r="AG190" s="63"/>
      <c r="AH190" s="118">
        <v>0.04</v>
      </c>
      <c r="AI190" s="63"/>
      <c r="AJ190" s="123"/>
      <c r="AK190" s="115">
        <f t="shared" si="5"/>
        <v>64713600</v>
      </c>
      <c r="AL190" s="113"/>
      <c r="AM190" s="114">
        <v>0</v>
      </c>
      <c r="AN190" s="113">
        <v>0</v>
      </c>
      <c r="AO190" s="113">
        <v>0</v>
      </c>
      <c r="AP190" s="113">
        <f t="shared" si="2"/>
        <v>0</v>
      </c>
      <c r="AQ190" s="113">
        <f t="shared" si="15"/>
        <v>64713600</v>
      </c>
      <c r="AR190" s="63"/>
      <c r="AS190" s="161"/>
      <c r="AT190" s="161"/>
      <c r="AU190" s="161"/>
      <c r="AV190" s="120"/>
      <c r="AW190" s="121"/>
      <c r="AX190" s="161"/>
      <c r="AY190" s="166"/>
      <c r="AZ190" s="161"/>
      <c r="BA190" s="161"/>
      <c r="BB190" s="111"/>
      <c r="BC190" s="111"/>
      <c r="BD190" s="123"/>
      <c r="BE190" s="113"/>
    </row>
    <row r="191" spans="1:57">
      <c r="A191" s="63">
        <v>188</v>
      </c>
      <c r="B191" s="109">
        <v>46127</v>
      </c>
      <c r="C191" s="110">
        <v>1</v>
      </c>
      <c r="D191" s="64" t="s">
        <v>138</v>
      </c>
      <c r="E191" s="64" t="s">
        <v>189</v>
      </c>
      <c r="F191" s="63" t="s">
        <v>960</v>
      </c>
      <c r="G191" s="64" t="s">
        <v>961</v>
      </c>
      <c r="H191" s="63" t="s">
        <v>117</v>
      </c>
      <c r="I191" s="64" t="s">
        <v>53</v>
      </c>
      <c r="J191" s="64"/>
      <c r="K191" s="126" t="s">
        <v>117</v>
      </c>
      <c r="L191" s="64" t="s">
        <v>962</v>
      </c>
      <c r="M191" s="64" t="s">
        <v>120</v>
      </c>
      <c r="N191" s="64"/>
      <c r="O191" s="127">
        <v>0</v>
      </c>
      <c r="P191" s="128">
        <v>819000000</v>
      </c>
      <c r="Q191" s="128">
        <v>49140000</v>
      </c>
      <c r="R191" s="208"/>
      <c r="S191" s="116">
        <v>0.01</v>
      </c>
      <c r="T191" s="114">
        <v>24570000</v>
      </c>
      <c r="U191" s="115"/>
      <c r="V191" s="113"/>
      <c r="W191" s="113"/>
      <c r="X191" s="113">
        <v>737987100</v>
      </c>
      <c r="Y191" s="113">
        <v>737987100</v>
      </c>
      <c r="Z191" s="113">
        <f t="shared" si="16"/>
        <v>0</v>
      </c>
      <c r="AA191" s="113">
        <v>737987100</v>
      </c>
      <c r="AB191" s="113">
        <v>786240000</v>
      </c>
      <c r="AC191" s="117"/>
      <c r="AD191" s="118">
        <v>0.04</v>
      </c>
      <c r="AE191" s="118"/>
      <c r="AF191" s="119">
        <v>0</v>
      </c>
      <c r="AG191" s="63"/>
      <c r="AH191" s="118">
        <v>0.04</v>
      </c>
      <c r="AI191" s="63"/>
      <c r="AJ191" s="123"/>
      <c r="AK191" s="115">
        <f t="shared" si="5"/>
        <v>77772384</v>
      </c>
      <c r="AL191" s="116">
        <f>7302900*40%</f>
        <v>2921160</v>
      </c>
      <c r="AM191" s="114">
        <v>0</v>
      </c>
      <c r="AN191" s="113">
        <v>0</v>
      </c>
      <c r="AO191" s="113">
        <v>15000000</v>
      </c>
      <c r="AP191" s="113">
        <f t="shared" si="2"/>
        <v>7500000</v>
      </c>
      <c r="AQ191" s="113">
        <f t="shared" si="15"/>
        <v>88193544</v>
      </c>
      <c r="AR191" s="63"/>
      <c r="AS191" s="161"/>
      <c r="AT191" s="161"/>
      <c r="AU191" s="161"/>
      <c r="AV191" s="120"/>
      <c r="AW191" s="121"/>
      <c r="AX191" s="161"/>
      <c r="AY191" s="166"/>
      <c r="AZ191" s="161"/>
      <c r="BA191" s="161"/>
      <c r="BB191" s="111"/>
      <c r="BC191" s="111"/>
      <c r="BD191" s="123"/>
      <c r="BE191" s="113"/>
    </row>
    <row r="192" spans="1:57">
      <c r="A192" s="63">
        <v>189</v>
      </c>
      <c r="B192" s="109">
        <v>46127</v>
      </c>
      <c r="C192" s="110">
        <v>1</v>
      </c>
      <c r="D192" s="64" t="s">
        <v>138</v>
      </c>
      <c r="E192" s="64" t="s">
        <v>184</v>
      </c>
      <c r="F192" s="63" t="s">
        <v>963</v>
      </c>
      <c r="G192" s="64" t="s">
        <v>964</v>
      </c>
      <c r="H192" s="63" t="s">
        <v>117</v>
      </c>
      <c r="I192" s="64" t="s">
        <v>53</v>
      </c>
      <c r="J192" s="64"/>
      <c r="K192" s="126" t="s">
        <v>117</v>
      </c>
      <c r="L192" s="64" t="s">
        <v>965</v>
      </c>
      <c r="M192" s="64" t="s">
        <v>107</v>
      </c>
      <c r="N192" s="64"/>
      <c r="O192" s="127">
        <v>0</v>
      </c>
      <c r="P192" s="128">
        <v>819000000</v>
      </c>
      <c r="Q192" s="128">
        <v>49140000</v>
      </c>
      <c r="R192" s="208"/>
      <c r="S192" s="165"/>
      <c r="T192" s="114">
        <v>24570000</v>
      </c>
      <c r="U192" s="115"/>
      <c r="V192" s="113"/>
      <c r="W192" s="113"/>
      <c r="X192" s="113">
        <v>745290000</v>
      </c>
      <c r="Y192" s="113">
        <v>745290000</v>
      </c>
      <c r="Z192" s="113">
        <f t="shared" si="16"/>
        <v>0</v>
      </c>
      <c r="AA192" s="113">
        <v>745290000</v>
      </c>
      <c r="AB192" s="113">
        <v>786240000</v>
      </c>
      <c r="AC192" s="117"/>
      <c r="AD192" s="118">
        <v>0.04</v>
      </c>
      <c r="AE192" s="118"/>
      <c r="AF192" s="119">
        <v>0</v>
      </c>
      <c r="AG192" s="63"/>
      <c r="AH192" s="118">
        <v>0.04</v>
      </c>
      <c r="AI192" s="63"/>
      <c r="AJ192" s="123"/>
      <c r="AK192" s="115">
        <f t="shared" si="5"/>
        <v>70761600</v>
      </c>
      <c r="AL192" s="113"/>
      <c r="AM192" s="114">
        <v>0</v>
      </c>
      <c r="AN192" s="113">
        <v>15000000</v>
      </c>
      <c r="AO192" s="113">
        <v>10000000</v>
      </c>
      <c r="AP192" s="113">
        <f t="shared" si="2"/>
        <v>5000000</v>
      </c>
      <c r="AQ192" s="113">
        <f t="shared" si="15"/>
        <v>90761600</v>
      </c>
      <c r="AR192" s="63"/>
      <c r="AS192" s="161"/>
      <c r="AT192" s="161"/>
      <c r="AU192" s="161"/>
      <c r="AV192" s="120"/>
      <c r="AW192" s="121"/>
      <c r="AX192" s="161"/>
      <c r="AY192" s="166"/>
      <c r="AZ192" s="161"/>
      <c r="BA192" s="161"/>
      <c r="BB192" s="111"/>
      <c r="BC192" s="111"/>
      <c r="BD192" s="118">
        <v>0.01</v>
      </c>
      <c r="BE192" s="113">
        <f>BD192*AA192</f>
        <v>7452900</v>
      </c>
    </row>
    <row r="193" spans="1:70">
      <c r="A193" s="63">
        <v>190</v>
      </c>
      <c r="B193" s="109">
        <v>46127</v>
      </c>
      <c r="C193" s="110">
        <v>4</v>
      </c>
      <c r="D193" s="64" t="s">
        <v>122</v>
      </c>
      <c r="E193" s="64" t="s">
        <v>769</v>
      </c>
      <c r="F193" s="63" t="s">
        <v>966</v>
      </c>
      <c r="G193" s="64" t="s">
        <v>967</v>
      </c>
      <c r="H193" s="63" t="s">
        <v>52</v>
      </c>
      <c r="I193" s="64" t="s">
        <v>148</v>
      </c>
      <c r="J193" s="64"/>
      <c r="K193" s="126" t="s">
        <v>114</v>
      </c>
      <c r="L193" s="64" t="s">
        <v>968</v>
      </c>
      <c r="M193" s="64" t="s">
        <v>107</v>
      </c>
      <c r="N193" s="64"/>
      <c r="O193" s="127">
        <v>46141</v>
      </c>
      <c r="P193" s="128">
        <v>749000000</v>
      </c>
      <c r="Q193" s="128">
        <v>44940000</v>
      </c>
      <c r="R193" s="208"/>
      <c r="S193" s="165"/>
      <c r="T193" s="114"/>
      <c r="U193" s="115"/>
      <c r="V193" s="113"/>
      <c r="W193" s="116">
        <v>12000000</v>
      </c>
      <c r="X193" s="113">
        <v>692060000</v>
      </c>
      <c r="Y193" s="113">
        <v>692060000</v>
      </c>
      <c r="Z193" s="113">
        <f t="shared" si="16"/>
        <v>0</v>
      </c>
      <c r="AA193" s="113">
        <v>704060000</v>
      </c>
      <c r="AB193" s="113">
        <v>719040000</v>
      </c>
      <c r="AC193" s="161"/>
      <c r="AD193" s="118">
        <v>0.04</v>
      </c>
      <c r="AE193" s="118"/>
      <c r="AF193" s="119">
        <v>0</v>
      </c>
      <c r="AG193" s="63"/>
      <c r="AH193" s="118">
        <v>0.04</v>
      </c>
      <c r="AI193" s="63"/>
      <c r="AJ193" s="123"/>
      <c r="AK193" s="115">
        <f t="shared" si="5"/>
        <v>43142400</v>
      </c>
      <c r="AL193" s="113"/>
      <c r="AM193" s="114">
        <v>0</v>
      </c>
      <c r="AN193" s="113">
        <v>3900000</v>
      </c>
      <c r="AO193" s="113">
        <v>0</v>
      </c>
      <c r="AP193" s="113">
        <f t="shared" si="2"/>
        <v>0</v>
      </c>
      <c r="AQ193" s="113">
        <f t="shared" si="15"/>
        <v>47042400</v>
      </c>
      <c r="AR193" s="161"/>
      <c r="AS193" s="161"/>
      <c r="AT193" s="161"/>
      <c r="AU193" s="161"/>
      <c r="AV193" s="120"/>
      <c r="AW193" s="121"/>
      <c r="AX193" s="161"/>
      <c r="AY193" s="166"/>
      <c r="AZ193" s="161"/>
      <c r="BA193" s="161"/>
      <c r="BB193" s="111"/>
      <c r="BC193" s="111"/>
      <c r="BD193" s="118">
        <v>0.01</v>
      </c>
      <c r="BE193" s="113">
        <f>BD193*AA193</f>
        <v>7040600</v>
      </c>
    </row>
    <row r="194" spans="1:70">
      <c r="A194" s="63">
        <v>191</v>
      </c>
      <c r="B194" s="109">
        <v>46127</v>
      </c>
      <c r="C194" s="110">
        <v>4</v>
      </c>
      <c r="D194" s="64" t="s">
        <v>122</v>
      </c>
      <c r="E194" s="64" t="s">
        <v>969</v>
      </c>
      <c r="F194" s="63" t="s">
        <v>970</v>
      </c>
      <c r="G194" s="64" t="s">
        <v>971</v>
      </c>
      <c r="H194" s="63" t="s">
        <v>167</v>
      </c>
      <c r="I194" s="64" t="s">
        <v>105</v>
      </c>
      <c r="J194" s="64"/>
      <c r="K194" s="126" t="s">
        <v>119</v>
      </c>
      <c r="L194" s="64" t="s">
        <v>972</v>
      </c>
      <c r="M194" s="64" t="s">
        <v>107</v>
      </c>
      <c r="N194" s="64"/>
      <c r="O194" s="127">
        <v>46141</v>
      </c>
      <c r="P194" s="128">
        <v>529000000</v>
      </c>
      <c r="Q194" s="128"/>
      <c r="R194" s="208">
        <v>7.0000000000000007E-2</v>
      </c>
      <c r="S194" s="165"/>
      <c r="T194" s="114"/>
      <c r="U194" s="115"/>
      <c r="V194" s="116">
        <v>15000000</v>
      </c>
      <c r="W194" s="113"/>
      <c r="X194" s="113">
        <v>514000000</v>
      </c>
      <c r="Y194" s="113">
        <v>514000000</v>
      </c>
      <c r="Z194" s="113">
        <f t="shared" si="16"/>
        <v>0</v>
      </c>
      <c r="AA194" s="113">
        <v>514000000</v>
      </c>
      <c r="AB194" s="113">
        <v>513130000</v>
      </c>
      <c r="AC194" s="161"/>
      <c r="AD194" s="118">
        <v>0.04</v>
      </c>
      <c r="AE194" s="118"/>
      <c r="AF194" s="119">
        <v>0</v>
      </c>
      <c r="AG194" s="63"/>
      <c r="AH194" s="118">
        <v>0.04</v>
      </c>
      <c r="AI194" s="63"/>
      <c r="AJ194" s="123"/>
      <c r="AK194" s="115">
        <f t="shared" si="5"/>
        <v>19690000</v>
      </c>
      <c r="AL194" s="113"/>
      <c r="AM194" s="114">
        <v>0</v>
      </c>
      <c r="AN194" s="113">
        <v>0</v>
      </c>
      <c r="AO194" s="113">
        <v>0</v>
      </c>
      <c r="AP194" s="113">
        <f t="shared" si="2"/>
        <v>0</v>
      </c>
      <c r="AQ194" s="113">
        <f t="shared" si="15"/>
        <v>19690000</v>
      </c>
      <c r="AR194" s="161"/>
      <c r="AS194" s="161"/>
      <c r="AT194" s="161"/>
      <c r="AU194" s="161"/>
      <c r="AV194" s="120"/>
      <c r="AW194" s="121"/>
      <c r="AX194" s="161"/>
      <c r="AY194" s="166"/>
      <c r="AZ194" s="161"/>
      <c r="BA194" s="161"/>
      <c r="BB194" s="111"/>
      <c r="BC194" s="111"/>
      <c r="BD194" s="118">
        <v>0.01</v>
      </c>
      <c r="BE194" s="113">
        <f>BD194*AA194</f>
        <v>5140000</v>
      </c>
    </row>
    <row r="195" spans="1:70">
      <c r="A195" s="63">
        <v>192</v>
      </c>
      <c r="B195" s="109">
        <v>46127</v>
      </c>
      <c r="C195" s="110">
        <v>4</v>
      </c>
      <c r="D195" s="64" t="s">
        <v>122</v>
      </c>
      <c r="E195" s="64" t="s">
        <v>151</v>
      </c>
      <c r="F195" s="63" t="s">
        <v>973</v>
      </c>
      <c r="G195" s="64" t="s">
        <v>974</v>
      </c>
      <c r="H195" s="63" t="s">
        <v>52</v>
      </c>
      <c r="I195" s="64" t="s">
        <v>148</v>
      </c>
      <c r="J195" s="64"/>
      <c r="K195" s="126" t="s">
        <v>114</v>
      </c>
      <c r="L195" s="64" t="s">
        <v>975</v>
      </c>
      <c r="M195" s="64" t="s">
        <v>120</v>
      </c>
      <c r="N195" s="64"/>
      <c r="O195" s="127">
        <v>46141</v>
      </c>
      <c r="P195" s="128">
        <v>749000000</v>
      </c>
      <c r="Q195" s="128">
        <v>44940000</v>
      </c>
      <c r="R195" s="208"/>
      <c r="S195" s="165"/>
      <c r="T195" s="114">
        <v>22470000</v>
      </c>
      <c r="U195" s="115"/>
      <c r="V195" s="113"/>
      <c r="W195" s="116">
        <v>12000000</v>
      </c>
      <c r="X195" s="113">
        <v>669590000</v>
      </c>
      <c r="Y195" s="113">
        <v>669590000</v>
      </c>
      <c r="Z195" s="113">
        <f t="shared" si="16"/>
        <v>0</v>
      </c>
      <c r="AA195" s="113">
        <v>681590000</v>
      </c>
      <c r="AB195" s="113">
        <v>719040000</v>
      </c>
      <c r="AC195" s="161"/>
      <c r="AD195" s="118">
        <v>0.04</v>
      </c>
      <c r="AE195" s="118"/>
      <c r="AF195" s="119">
        <v>0</v>
      </c>
      <c r="AG195" s="63"/>
      <c r="AH195" s="118">
        <v>0.04</v>
      </c>
      <c r="AI195" s="63"/>
      <c r="AJ195" s="123"/>
      <c r="AK195" s="115">
        <f t="shared" si="5"/>
        <v>64713600</v>
      </c>
      <c r="AL195" s="113"/>
      <c r="AM195" s="114">
        <v>0</v>
      </c>
      <c r="AN195" s="113">
        <v>0</v>
      </c>
      <c r="AO195" s="113">
        <v>10000000</v>
      </c>
      <c r="AP195" s="113">
        <f t="shared" si="2"/>
        <v>5000000</v>
      </c>
      <c r="AQ195" s="113">
        <f t="shared" si="15"/>
        <v>69713600</v>
      </c>
      <c r="AR195" s="161"/>
      <c r="AS195" s="161"/>
      <c r="AT195" s="161"/>
      <c r="AU195" s="161"/>
      <c r="AV195" s="120"/>
      <c r="AW195" s="121"/>
      <c r="AX195" s="161"/>
      <c r="AY195" s="166"/>
      <c r="AZ195" s="161"/>
      <c r="BA195" s="161"/>
      <c r="BB195" s="111"/>
      <c r="BC195" s="111"/>
      <c r="BD195" s="123"/>
      <c r="BE195" s="113"/>
    </row>
    <row r="196" spans="1:70">
      <c r="A196" s="63">
        <v>193</v>
      </c>
      <c r="B196" s="109">
        <v>46127</v>
      </c>
      <c r="C196" s="110">
        <v>4</v>
      </c>
      <c r="D196" s="64" t="s">
        <v>122</v>
      </c>
      <c r="E196" s="64" t="s">
        <v>152</v>
      </c>
      <c r="F196" s="63" t="s">
        <v>976</v>
      </c>
      <c r="G196" s="64" t="s">
        <v>977</v>
      </c>
      <c r="H196" s="63" t="s">
        <v>173</v>
      </c>
      <c r="I196" s="64" t="s">
        <v>134</v>
      </c>
      <c r="J196" s="64"/>
      <c r="K196" s="126" t="s">
        <v>159</v>
      </c>
      <c r="L196" s="64" t="s">
        <v>978</v>
      </c>
      <c r="M196" s="64" t="s">
        <v>120</v>
      </c>
      <c r="N196" s="64"/>
      <c r="O196" s="127">
        <v>46142</v>
      </c>
      <c r="P196" s="128">
        <v>689000000</v>
      </c>
      <c r="Q196" s="128">
        <v>41340000</v>
      </c>
      <c r="R196" s="208"/>
      <c r="S196" s="165"/>
      <c r="T196" s="114">
        <v>20670000</v>
      </c>
      <c r="U196" s="115"/>
      <c r="V196" s="113"/>
      <c r="W196" s="113"/>
      <c r="X196" s="113">
        <v>626990000</v>
      </c>
      <c r="Y196" s="113">
        <v>626990000</v>
      </c>
      <c r="Z196" s="113">
        <f t="shared" si="16"/>
        <v>0</v>
      </c>
      <c r="AA196" s="113">
        <v>626990000</v>
      </c>
      <c r="AB196" s="113">
        <v>661440000</v>
      </c>
      <c r="AC196" s="161"/>
      <c r="AD196" s="118">
        <v>0.04</v>
      </c>
      <c r="AE196" s="118"/>
      <c r="AF196" s="119">
        <v>0</v>
      </c>
      <c r="AG196" s="63"/>
      <c r="AH196" s="118">
        <v>0.04</v>
      </c>
      <c r="AI196" s="63"/>
      <c r="AJ196" s="123"/>
      <c r="AK196" s="115">
        <f t="shared" si="5"/>
        <v>59529600</v>
      </c>
      <c r="AL196" s="113"/>
      <c r="AM196" s="114">
        <v>0</v>
      </c>
      <c r="AN196" s="113">
        <v>0</v>
      </c>
      <c r="AO196" s="113">
        <v>0</v>
      </c>
      <c r="AP196" s="113">
        <f t="shared" si="2"/>
        <v>0</v>
      </c>
      <c r="AQ196" s="113">
        <f t="shared" si="15"/>
        <v>59529600</v>
      </c>
      <c r="AR196" s="161"/>
      <c r="AS196" s="161"/>
      <c r="AT196" s="161"/>
      <c r="AU196" s="161"/>
      <c r="AV196" s="120"/>
      <c r="AW196" s="121"/>
      <c r="AX196" s="161"/>
      <c r="AY196" s="166"/>
      <c r="AZ196" s="161"/>
      <c r="BA196" s="161"/>
      <c r="BB196" s="111"/>
      <c r="BC196" s="111"/>
      <c r="BD196" s="123"/>
      <c r="BE196" s="113"/>
    </row>
    <row r="197" spans="1:70">
      <c r="A197" s="63">
        <v>194</v>
      </c>
      <c r="B197" s="109">
        <v>46127</v>
      </c>
      <c r="C197" s="110">
        <v>4</v>
      </c>
      <c r="D197" s="64" t="s">
        <v>122</v>
      </c>
      <c r="E197" s="64" t="s">
        <v>457</v>
      </c>
      <c r="F197" s="63" t="s">
        <v>979</v>
      </c>
      <c r="G197" s="64" t="s">
        <v>980</v>
      </c>
      <c r="H197" s="63" t="s">
        <v>52</v>
      </c>
      <c r="I197" s="64" t="s">
        <v>148</v>
      </c>
      <c r="J197" s="64"/>
      <c r="K197" s="126" t="s">
        <v>114</v>
      </c>
      <c r="L197" s="64" t="s">
        <v>981</v>
      </c>
      <c r="M197" s="64" t="s">
        <v>120</v>
      </c>
      <c r="N197" s="64"/>
      <c r="O197" s="127">
        <v>46142</v>
      </c>
      <c r="P197" s="128">
        <v>749000000</v>
      </c>
      <c r="Q197" s="128"/>
      <c r="R197" s="208">
        <v>7.0000000000000007E-2</v>
      </c>
      <c r="S197" s="165"/>
      <c r="T197" s="114">
        <v>22470000</v>
      </c>
      <c r="U197" s="115"/>
      <c r="V197" s="113"/>
      <c r="W197" s="116">
        <v>12000000</v>
      </c>
      <c r="X197" s="113">
        <v>714530000</v>
      </c>
      <c r="Y197" s="113">
        <v>714530000</v>
      </c>
      <c r="Z197" s="113">
        <f t="shared" si="16"/>
        <v>0</v>
      </c>
      <c r="AA197" s="113">
        <v>726530000</v>
      </c>
      <c r="AB197" s="113">
        <v>719040000</v>
      </c>
      <c r="AC197" s="161"/>
      <c r="AD197" s="118">
        <v>0.04</v>
      </c>
      <c r="AE197" s="118"/>
      <c r="AF197" s="119">
        <v>0</v>
      </c>
      <c r="AG197" s="63"/>
      <c r="AH197" s="118">
        <v>0.04</v>
      </c>
      <c r="AI197" s="63"/>
      <c r="AJ197" s="123"/>
      <c r="AK197" s="115">
        <f t="shared" si="5"/>
        <v>21571200</v>
      </c>
      <c r="AL197" s="113"/>
      <c r="AM197" s="114">
        <v>0</v>
      </c>
      <c r="AN197" s="113">
        <v>0</v>
      </c>
      <c r="AO197" s="113">
        <v>0</v>
      </c>
      <c r="AP197" s="113">
        <f t="shared" si="2"/>
        <v>0</v>
      </c>
      <c r="AQ197" s="113">
        <f t="shared" si="15"/>
        <v>21571200</v>
      </c>
      <c r="AR197" s="161"/>
      <c r="AS197" s="161"/>
      <c r="AT197" s="161"/>
      <c r="AU197" s="161"/>
      <c r="AV197" s="120"/>
      <c r="AW197" s="121"/>
      <c r="AX197" s="161"/>
      <c r="AY197" s="166"/>
      <c r="AZ197" s="161"/>
      <c r="BA197" s="161"/>
      <c r="BB197" s="111"/>
      <c r="BC197" s="111"/>
      <c r="BD197" s="123"/>
      <c r="BE197" s="113"/>
    </row>
    <row r="198" spans="1:70">
      <c r="A198" s="63">
        <v>195</v>
      </c>
      <c r="B198" s="109">
        <v>46127</v>
      </c>
      <c r="C198" s="110">
        <v>4</v>
      </c>
      <c r="D198" s="64" t="s">
        <v>122</v>
      </c>
      <c r="E198" s="64" t="s">
        <v>461</v>
      </c>
      <c r="F198" s="63" t="s">
        <v>982</v>
      </c>
      <c r="G198" s="64" t="s">
        <v>983</v>
      </c>
      <c r="H198" s="63" t="s">
        <v>52</v>
      </c>
      <c r="I198" s="64" t="s">
        <v>984</v>
      </c>
      <c r="J198" s="64"/>
      <c r="K198" s="126" t="s">
        <v>114</v>
      </c>
      <c r="L198" s="64" t="s">
        <v>985</v>
      </c>
      <c r="M198" s="64" t="s">
        <v>120</v>
      </c>
      <c r="N198" s="64"/>
      <c r="O198" s="127">
        <v>46142</v>
      </c>
      <c r="P198" s="128">
        <v>749000000</v>
      </c>
      <c r="Q198" s="128">
        <v>44940000</v>
      </c>
      <c r="R198" s="208"/>
      <c r="S198" s="165"/>
      <c r="T198" s="114"/>
      <c r="U198" s="115"/>
      <c r="V198" s="113"/>
      <c r="W198" s="116">
        <v>12000000</v>
      </c>
      <c r="X198" s="113">
        <v>692060000</v>
      </c>
      <c r="Y198" s="113">
        <v>692060000</v>
      </c>
      <c r="Z198" s="113">
        <f t="shared" si="16"/>
        <v>0</v>
      </c>
      <c r="AA198" s="113">
        <v>704060000</v>
      </c>
      <c r="AB198" s="113">
        <v>719040000</v>
      </c>
      <c r="AC198" s="161"/>
      <c r="AD198" s="118">
        <v>0.04</v>
      </c>
      <c r="AE198" s="118"/>
      <c r="AF198" s="119">
        <v>0</v>
      </c>
      <c r="AG198" s="63"/>
      <c r="AH198" s="118">
        <v>0.04</v>
      </c>
      <c r="AI198" s="63"/>
      <c r="AJ198" s="123"/>
      <c r="AK198" s="115">
        <f t="shared" si="5"/>
        <v>43142400</v>
      </c>
      <c r="AL198" s="113"/>
      <c r="AM198" s="114">
        <v>0</v>
      </c>
      <c r="AN198" s="113">
        <v>0</v>
      </c>
      <c r="AO198" s="113">
        <v>0</v>
      </c>
      <c r="AP198" s="113">
        <f t="shared" si="2"/>
        <v>0</v>
      </c>
      <c r="AQ198" s="113">
        <f t="shared" si="15"/>
        <v>43142400</v>
      </c>
      <c r="AR198" s="161"/>
      <c r="AS198" s="161"/>
      <c r="AT198" s="161"/>
      <c r="AU198" s="161"/>
      <c r="AV198" s="120"/>
      <c r="AW198" s="121"/>
      <c r="AX198" s="161"/>
      <c r="AY198" s="166"/>
      <c r="AZ198" s="161"/>
      <c r="BA198" s="161"/>
      <c r="BB198" s="111"/>
      <c r="BC198" s="111"/>
      <c r="BD198" s="123"/>
      <c r="BE198" s="113"/>
    </row>
    <row r="199" spans="1:70">
      <c r="A199" s="63">
        <v>196</v>
      </c>
      <c r="B199" s="109">
        <v>46127</v>
      </c>
      <c r="C199" s="110">
        <v>4</v>
      </c>
      <c r="D199" s="64" t="s">
        <v>122</v>
      </c>
      <c r="E199" s="64" t="s">
        <v>461</v>
      </c>
      <c r="F199" s="63" t="s">
        <v>986</v>
      </c>
      <c r="G199" s="64" t="s">
        <v>987</v>
      </c>
      <c r="H199" s="63" t="s">
        <v>52</v>
      </c>
      <c r="I199" s="64" t="s">
        <v>984</v>
      </c>
      <c r="J199" s="64"/>
      <c r="K199" s="126" t="s">
        <v>114</v>
      </c>
      <c r="L199" s="64" t="s">
        <v>988</v>
      </c>
      <c r="M199" s="64" t="s">
        <v>120</v>
      </c>
      <c r="N199" s="64"/>
      <c r="O199" s="127">
        <v>46142</v>
      </c>
      <c r="P199" s="128">
        <v>749000000</v>
      </c>
      <c r="Q199" s="128">
        <v>44940000</v>
      </c>
      <c r="R199" s="208"/>
      <c r="S199" s="165"/>
      <c r="T199" s="114"/>
      <c r="U199" s="115"/>
      <c r="V199" s="113"/>
      <c r="W199" s="116">
        <v>12000000</v>
      </c>
      <c r="X199" s="113">
        <v>692060000</v>
      </c>
      <c r="Y199" s="113">
        <v>692060000</v>
      </c>
      <c r="Z199" s="113">
        <f t="shared" si="16"/>
        <v>0</v>
      </c>
      <c r="AA199" s="113">
        <v>704060000</v>
      </c>
      <c r="AB199" s="113">
        <v>719040000</v>
      </c>
      <c r="AC199" s="161"/>
      <c r="AD199" s="118">
        <v>0.04</v>
      </c>
      <c r="AE199" s="118"/>
      <c r="AF199" s="119">
        <v>0</v>
      </c>
      <c r="AG199" s="63"/>
      <c r="AH199" s="118">
        <v>0.04</v>
      </c>
      <c r="AI199" s="63"/>
      <c r="AJ199" s="123"/>
      <c r="AK199" s="115">
        <f t="shared" si="5"/>
        <v>43142400</v>
      </c>
      <c r="AL199" s="113"/>
      <c r="AM199" s="114">
        <v>0</v>
      </c>
      <c r="AN199" s="113">
        <v>0</v>
      </c>
      <c r="AO199" s="113">
        <v>0</v>
      </c>
      <c r="AP199" s="113">
        <f t="shared" si="2"/>
        <v>0</v>
      </c>
      <c r="AQ199" s="113">
        <f t="shared" si="15"/>
        <v>43142400</v>
      </c>
      <c r="AR199" s="161"/>
      <c r="AS199" s="161"/>
      <c r="AT199" s="161"/>
      <c r="AU199" s="161"/>
      <c r="AV199" s="120"/>
      <c r="AW199" s="121"/>
      <c r="AX199" s="161"/>
      <c r="AY199" s="166"/>
      <c r="AZ199" s="161"/>
      <c r="BA199" s="161"/>
      <c r="BB199" s="111"/>
      <c r="BC199" s="111"/>
      <c r="BD199" s="123"/>
      <c r="BE199" s="113"/>
    </row>
    <row r="200" spans="1:70">
      <c r="A200" s="63">
        <v>197</v>
      </c>
      <c r="B200" s="109">
        <v>46127</v>
      </c>
      <c r="C200" s="110">
        <v>4</v>
      </c>
      <c r="D200" s="64" t="s">
        <v>122</v>
      </c>
      <c r="E200" s="64" t="s">
        <v>457</v>
      </c>
      <c r="F200" s="63" t="s">
        <v>989</v>
      </c>
      <c r="G200" s="64" t="s">
        <v>990</v>
      </c>
      <c r="H200" s="63" t="s">
        <v>52</v>
      </c>
      <c r="I200" s="64" t="s">
        <v>148</v>
      </c>
      <c r="J200" s="64"/>
      <c r="K200" s="126" t="s">
        <v>114</v>
      </c>
      <c r="L200" s="64" t="s">
        <v>991</v>
      </c>
      <c r="M200" s="64" t="s">
        <v>107</v>
      </c>
      <c r="N200" s="64"/>
      <c r="O200" s="127">
        <v>46142</v>
      </c>
      <c r="P200" s="128">
        <v>749000000</v>
      </c>
      <c r="Q200" s="128"/>
      <c r="R200" s="208">
        <v>7.0000000000000007E-2</v>
      </c>
      <c r="S200" s="165"/>
      <c r="T200" s="114"/>
      <c r="U200" s="115"/>
      <c r="V200" s="113"/>
      <c r="W200" s="116">
        <v>12000000</v>
      </c>
      <c r="X200" s="113">
        <v>737000000</v>
      </c>
      <c r="Y200" s="113">
        <v>737000000</v>
      </c>
      <c r="Z200" s="113">
        <f t="shared" si="16"/>
        <v>0</v>
      </c>
      <c r="AA200" s="113">
        <v>749000000</v>
      </c>
      <c r="AB200" s="113">
        <v>719040000</v>
      </c>
      <c r="AC200" s="161"/>
      <c r="AD200" s="118">
        <v>0.04</v>
      </c>
      <c r="AE200" s="118"/>
      <c r="AF200" s="119">
        <v>0</v>
      </c>
      <c r="AG200" s="63"/>
      <c r="AH200" s="118">
        <v>0.04</v>
      </c>
      <c r="AI200" s="63"/>
      <c r="AJ200" s="123"/>
      <c r="AK200" s="115">
        <f t="shared" si="5"/>
        <v>0</v>
      </c>
      <c r="AL200" s="113"/>
      <c r="AM200" s="114">
        <v>0</v>
      </c>
      <c r="AN200" s="113">
        <v>0</v>
      </c>
      <c r="AO200" s="113">
        <v>0</v>
      </c>
      <c r="AP200" s="113">
        <f t="shared" si="2"/>
        <v>0</v>
      </c>
      <c r="AQ200" s="113">
        <f t="shared" si="15"/>
        <v>0</v>
      </c>
      <c r="AR200" s="161"/>
      <c r="AS200" s="161"/>
      <c r="AT200" s="161"/>
      <c r="AU200" s="161"/>
      <c r="AV200" s="120"/>
      <c r="AW200" s="121"/>
      <c r="AX200" s="161"/>
      <c r="AY200" s="166"/>
      <c r="AZ200" s="161"/>
      <c r="BA200" s="161"/>
      <c r="BB200" s="111"/>
      <c r="BC200" s="111"/>
      <c r="BD200" s="118">
        <v>0.01</v>
      </c>
      <c r="BE200" s="113">
        <f>BD200*AA200</f>
        <v>7490000</v>
      </c>
    </row>
    <row r="201" spans="1:70">
      <c r="A201" s="63">
        <v>198</v>
      </c>
      <c r="B201" s="109">
        <v>46127</v>
      </c>
      <c r="C201" s="110">
        <v>4</v>
      </c>
      <c r="D201" s="64" t="s">
        <v>122</v>
      </c>
      <c r="E201" s="64" t="s">
        <v>992</v>
      </c>
      <c r="F201" s="63" t="s">
        <v>993</v>
      </c>
      <c r="G201" s="64" t="s">
        <v>994</v>
      </c>
      <c r="H201" s="63" t="s">
        <v>117</v>
      </c>
      <c r="I201" s="64" t="s">
        <v>168</v>
      </c>
      <c r="J201" s="64"/>
      <c r="K201" s="126" t="s">
        <v>117</v>
      </c>
      <c r="L201" s="64" t="s">
        <v>995</v>
      </c>
      <c r="M201" s="64" t="s">
        <v>120</v>
      </c>
      <c r="N201" s="64"/>
      <c r="O201" s="127">
        <v>46142</v>
      </c>
      <c r="P201" s="128">
        <v>819000000</v>
      </c>
      <c r="Q201" s="128">
        <v>49140000</v>
      </c>
      <c r="R201" s="208"/>
      <c r="S201" s="165"/>
      <c r="T201" s="114"/>
      <c r="U201" s="115"/>
      <c r="V201" s="113"/>
      <c r="W201" s="116">
        <v>15000000</v>
      </c>
      <c r="X201" s="113">
        <v>754860000</v>
      </c>
      <c r="Y201" s="113">
        <v>754860000</v>
      </c>
      <c r="Z201" s="113">
        <f t="shared" si="16"/>
        <v>0</v>
      </c>
      <c r="AA201" s="113">
        <v>769860000</v>
      </c>
      <c r="AB201" s="113">
        <v>786240000</v>
      </c>
      <c r="AC201" s="161"/>
      <c r="AD201" s="118">
        <v>0.04</v>
      </c>
      <c r="AE201" s="118"/>
      <c r="AF201" s="119">
        <v>0</v>
      </c>
      <c r="AG201" s="63"/>
      <c r="AH201" s="118">
        <v>0.04</v>
      </c>
      <c r="AI201" s="63"/>
      <c r="AJ201" s="123"/>
      <c r="AK201" s="115">
        <f t="shared" si="5"/>
        <v>47174400</v>
      </c>
      <c r="AL201" s="113"/>
      <c r="AM201" s="114">
        <v>0</v>
      </c>
      <c r="AN201" s="113">
        <v>25000000</v>
      </c>
      <c r="AO201" s="113">
        <v>10000000</v>
      </c>
      <c r="AP201" s="113">
        <f t="shared" si="2"/>
        <v>5000000</v>
      </c>
      <c r="AQ201" s="113">
        <f t="shared" si="15"/>
        <v>77174400</v>
      </c>
      <c r="AR201" s="161"/>
      <c r="AS201" s="161"/>
      <c r="AT201" s="161"/>
      <c r="AU201" s="161"/>
      <c r="AV201" s="120"/>
      <c r="AW201" s="121"/>
      <c r="AX201" s="161"/>
      <c r="AY201" s="166"/>
      <c r="AZ201" s="161"/>
      <c r="BA201" s="161"/>
      <c r="BB201" s="111"/>
      <c r="BC201" s="111"/>
      <c r="BD201" s="123"/>
      <c r="BE201" s="113"/>
    </row>
    <row r="202" spans="1:70">
      <c r="A202" s="63">
        <v>199</v>
      </c>
      <c r="B202" s="109">
        <v>46127</v>
      </c>
      <c r="C202" s="110">
        <v>4</v>
      </c>
      <c r="D202" s="64" t="s">
        <v>122</v>
      </c>
      <c r="E202" s="64" t="s">
        <v>992</v>
      </c>
      <c r="F202" s="63" t="s">
        <v>996</v>
      </c>
      <c r="G202" s="64" t="s">
        <v>997</v>
      </c>
      <c r="H202" s="63" t="s">
        <v>117</v>
      </c>
      <c r="I202" s="64" t="s">
        <v>168</v>
      </c>
      <c r="J202" s="64"/>
      <c r="K202" s="126" t="s">
        <v>117</v>
      </c>
      <c r="L202" s="64" t="s">
        <v>998</v>
      </c>
      <c r="M202" s="64" t="s">
        <v>120</v>
      </c>
      <c r="N202" s="64"/>
      <c r="O202" s="127">
        <v>46142</v>
      </c>
      <c r="P202" s="128">
        <v>819000000</v>
      </c>
      <c r="Q202" s="128">
        <v>49140000</v>
      </c>
      <c r="R202" s="208"/>
      <c r="S202" s="165"/>
      <c r="T202" s="114">
        <v>24570000</v>
      </c>
      <c r="U202" s="115"/>
      <c r="V202" s="113"/>
      <c r="W202" s="116"/>
      <c r="X202" s="113">
        <v>745290000</v>
      </c>
      <c r="Y202" s="113">
        <v>745290000</v>
      </c>
      <c r="Z202" s="113">
        <f t="shared" si="16"/>
        <v>0</v>
      </c>
      <c r="AA202" s="113">
        <v>745290000</v>
      </c>
      <c r="AB202" s="113">
        <v>786240000</v>
      </c>
      <c r="AC202" s="161"/>
      <c r="AD202" s="118">
        <v>0.04</v>
      </c>
      <c r="AE202" s="118"/>
      <c r="AF202" s="119">
        <v>0</v>
      </c>
      <c r="AG202" s="63"/>
      <c r="AH202" s="118">
        <v>0.04</v>
      </c>
      <c r="AI202" s="63"/>
      <c r="AJ202" s="123"/>
      <c r="AK202" s="115">
        <f t="shared" si="5"/>
        <v>70761600</v>
      </c>
      <c r="AL202" s="113"/>
      <c r="AM202" s="114">
        <v>0</v>
      </c>
      <c r="AN202" s="113">
        <v>15000000</v>
      </c>
      <c r="AO202" s="113">
        <v>0</v>
      </c>
      <c r="AP202" s="113">
        <f t="shared" si="2"/>
        <v>0</v>
      </c>
      <c r="AQ202" s="113">
        <f t="shared" si="15"/>
        <v>85761600</v>
      </c>
      <c r="AR202" s="161"/>
      <c r="AS202" s="161"/>
      <c r="AT202" s="161"/>
      <c r="AU202" s="161"/>
      <c r="AV202" s="120"/>
      <c r="AW202" s="121"/>
      <c r="AX202" s="161"/>
      <c r="AY202" s="166"/>
      <c r="AZ202" s="161"/>
      <c r="BA202" s="161"/>
      <c r="BB202" s="111"/>
      <c r="BC202" s="111"/>
      <c r="BD202" s="123"/>
      <c r="BE202" s="113"/>
    </row>
    <row r="203" spans="1:70" ht="15" thickBot="1">
      <c r="A203" s="63">
        <v>200</v>
      </c>
      <c r="B203" s="109">
        <v>46127</v>
      </c>
      <c r="C203" s="110">
        <v>4</v>
      </c>
      <c r="D203" s="64" t="s">
        <v>122</v>
      </c>
      <c r="E203" s="64" t="s">
        <v>151</v>
      </c>
      <c r="F203" s="63" t="s">
        <v>999</v>
      </c>
      <c r="G203" s="64" t="s">
        <v>1000</v>
      </c>
      <c r="H203" s="63" t="s">
        <v>52</v>
      </c>
      <c r="I203" s="64" t="s">
        <v>984</v>
      </c>
      <c r="J203" s="64"/>
      <c r="K203" s="126" t="s">
        <v>114</v>
      </c>
      <c r="L203" s="64" t="s">
        <v>1001</v>
      </c>
      <c r="M203" s="64" t="s">
        <v>120</v>
      </c>
      <c r="N203" s="64"/>
      <c r="O203" s="127">
        <v>46142</v>
      </c>
      <c r="P203" s="128">
        <v>749000000</v>
      </c>
      <c r="Q203" s="128">
        <v>44940000</v>
      </c>
      <c r="R203" s="208"/>
      <c r="S203" s="165"/>
      <c r="T203" s="114"/>
      <c r="U203" s="115"/>
      <c r="V203" s="113"/>
      <c r="W203" s="116">
        <v>12000000</v>
      </c>
      <c r="X203" s="113">
        <v>692060000</v>
      </c>
      <c r="Y203" s="113">
        <v>692060000</v>
      </c>
      <c r="Z203" s="113">
        <f t="shared" si="16"/>
        <v>0</v>
      </c>
      <c r="AA203" s="113">
        <v>704060000</v>
      </c>
      <c r="AB203" s="113">
        <v>719040000</v>
      </c>
      <c r="AC203" s="161"/>
      <c r="AD203" s="118">
        <v>0.04</v>
      </c>
      <c r="AE203" s="118"/>
      <c r="AF203" s="119">
        <v>0</v>
      </c>
      <c r="AG203" s="63"/>
      <c r="AH203" s="118">
        <v>0.04</v>
      </c>
      <c r="AI203" s="63"/>
      <c r="AJ203" s="123"/>
      <c r="AK203" s="115">
        <f t="shared" si="5"/>
        <v>43142400</v>
      </c>
      <c r="AL203" s="113"/>
      <c r="AM203" s="114">
        <v>0</v>
      </c>
      <c r="AN203" s="113">
        <v>0</v>
      </c>
      <c r="AO203" s="113">
        <v>0</v>
      </c>
      <c r="AP203" s="113">
        <f t="shared" si="2"/>
        <v>0</v>
      </c>
      <c r="AQ203" s="113">
        <f t="shared" si="15"/>
        <v>43142400</v>
      </c>
      <c r="AR203" s="161"/>
      <c r="AS203" s="161"/>
      <c r="AT203" s="161"/>
      <c r="AU203" s="161"/>
      <c r="AV203" s="120"/>
      <c r="AW203" s="121"/>
      <c r="AX203" s="161"/>
      <c r="AY203" s="166"/>
      <c r="AZ203" s="161"/>
      <c r="BA203" s="161"/>
      <c r="BB203" s="111"/>
      <c r="BC203" s="111"/>
      <c r="BD203" s="123"/>
      <c r="BE203" s="113"/>
    </row>
    <row r="204" spans="1:70" ht="39" thickBot="1">
      <c r="A204" s="296">
        <v>164</v>
      </c>
      <c r="B204" s="297">
        <v>3.2025999999999999</v>
      </c>
      <c r="C204" s="297">
        <v>12</v>
      </c>
      <c r="D204" s="298" t="s">
        <v>104</v>
      </c>
      <c r="E204" s="298" t="s">
        <v>109</v>
      </c>
      <c r="F204" s="298" t="s">
        <v>30</v>
      </c>
      <c r="G204" s="298" t="s">
        <v>1992</v>
      </c>
      <c r="H204" s="63" t="s">
        <v>52</v>
      </c>
      <c r="I204" s="298" t="s">
        <v>148</v>
      </c>
      <c r="J204" s="298"/>
      <c r="K204" s="298" t="s">
        <v>114</v>
      </c>
      <c r="L204" s="298" t="s">
        <v>178</v>
      </c>
      <c r="M204" s="298" t="s">
        <v>107</v>
      </c>
      <c r="N204" s="298"/>
      <c r="O204" s="298"/>
      <c r="P204" s="128">
        <v>749000000</v>
      </c>
      <c r="Q204" s="128">
        <v>44940000</v>
      </c>
      <c r="R204" s="298"/>
      <c r="S204" s="298"/>
      <c r="T204" s="298"/>
      <c r="U204" s="299"/>
      <c r="V204" s="298"/>
      <c r="W204" s="311">
        <v>10000000</v>
      </c>
      <c r="X204" s="311">
        <v>694060000</v>
      </c>
      <c r="Y204" s="311">
        <v>694060000</v>
      </c>
      <c r="Z204" s="311">
        <v>0</v>
      </c>
      <c r="AA204" s="311">
        <v>704060000</v>
      </c>
      <c r="AB204" s="311">
        <v>719040000</v>
      </c>
      <c r="AC204" s="312"/>
      <c r="AD204" s="300">
        <v>0.04</v>
      </c>
      <c r="AE204" s="298"/>
      <c r="AF204" s="301" t="s">
        <v>353</v>
      </c>
      <c r="AG204" s="298"/>
      <c r="AH204" s="300">
        <v>0.04</v>
      </c>
      <c r="AI204" s="298"/>
      <c r="AJ204" s="298"/>
      <c r="AK204" s="302">
        <v>43142400</v>
      </c>
      <c r="AL204" s="303"/>
      <c r="AM204" s="298"/>
      <c r="AN204" s="298"/>
      <c r="AO204" s="297">
        <v>10000000</v>
      </c>
      <c r="AP204" s="298"/>
      <c r="AQ204" s="298"/>
      <c r="AR204" s="297" t="s">
        <v>1993</v>
      </c>
      <c r="AS204" s="298"/>
      <c r="AT204" s="298"/>
      <c r="AU204" s="298"/>
      <c r="AV204" s="298"/>
      <c r="AW204" s="301" t="s">
        <v>249</v>
      </c>
      <c r="AX204" s="301" t="s">
        <v>249</v>
      </c>
      <c r="AY204" s="298"/>
      <c r="AZ204" s="298"/>
      <c r="BA204" s="298"/>
      <c r="BB204" s="298"/>
      <c r="BC204" s="298"/>
      <c r="BD204" s="298"/>
      <c r="BE204" s="304"/>
      <c r="BF204" s="304"/>
      <c r="BG204" s="304"/>
      <c r="BH204" s="304"/>
      <c r="BI204" s="304"/>
      <c r="BJ204" s="304"/>
      <c r="BK204" s="304" t="s">
        <v>1994</v>
      </c>
      <c r="BL204" s="304" t="s">
        <v>1995</v>
      </c>
      <c r="BM204" s="304"/>
      <c r="BN204" s="305" t="s">
        <v>1996</v>
      </c>
      <c r="BO204" s="305" t="s">
        <v>1997</v>
      </c>
      <c r="BP204" s="304"/>
      <c r="BQ204" s="304"/>
      <c r="BR204" s="304"/>
    </row>
    <row r="205" spans="1:70">
      <c r="C205" s="167"/>
      <c r="R205" s="211"/>
      <c r="T205" s="168"/>
      <c r="U205" s="169"/>
      <c r="V205" s="170"/>
      <c r="W205" s="170"/>
      <c r="AF205" s="171"/>
      <c r="AJ205" s="172"/>
      <c r="AK205" s="170"/>
      <c r="AM205" s="168"/>
      <c r="AN205" s="168"/>
      <c r="AV205" s="173"/>
      <c r="AW205" s="174"/>
      <c r="AY205" s="175"/>
      <c r="BB205" s="176"/>
      <c r="BC205" s="176"/>
      <c r="BD205" s="172"/>
      <c r="BE205" s="170"/>
    </row>
    <row r="206" spans="1:70">
      <c r="C206" s="167"/>
      <c r="R206" s="211"/>
      <c r="T206" s="168"/>
      <c r="U206" s="169"/>
      <c r="V206" s="170"/>
      <c r="W206" s="170"/>
      <c r="AF206" s="171"/>
      <c r="AJ206" s="172"/>
      <c r="AK206" s="170"/>
      <c r="AM206" s="168"/>
      <c r="AN206" s="168"/>
      <c r="AV206" s="173"/>
      <c r="AW206" s="174"/>
      <c r="AY206" s="175"/>
      <c r="BB206" s="176"/>
      <c r="BC206" s="176"/>
      <c r="BD206" s="172"/>
      <c r="BE206" s="170"/>
    </row>
    <row r="207" spans="1:70">
      <c r="C207" s="167"/>
      <c r="R207" s="211"/>
      <c r="T207" s="168"/>
      <c r="U207" s="169"/>
      <c r="V207" s="170"/>
      <c r="W207" s="170"/>
      <c r="AF207" s="171"/>
      <c r="AJ207" s="172"/>
      <c r="AK207" s="170"/>
      <c r="AM207" s="168"/>
      <c r="AN207" s="168"/>
      <c r="AV207" s="173"/>
      <c r="AW207" s="174"/>
      <c r="AY207" s="175"/>
      <c r="BB207" s="176"/>
      <c r="BC207" s="176"/>
      <c r="BD207" s="172"/>
      <c r="BE207" s="170"/>
    </row>
    <row r="208" spans="1:70">
      <c r="C208" s="167"/>
      <c r="R208" s="211"/>
      <c r="T208" s="168"/>
      <c r="U208" s="169"/>
      <c r="V208" s="170"/>
      <c r="W208" s="170"/>
      <c r="AF208" s="171"/>
      <c r="AJ208" s="172"/>
      <c r="AK208" s="170"/>
      <c r="AM208" s="168"/>
      <c r="AN208" s="168"/>
      <c r="AV208" s="173"/>
      <c r="AW208" s="174"/>
      <c r="AY208" s="175"/>
      <c r="BB208" s="176"/>
      <c r="BC208" s="176"/>
      <c r="BD208" s="172"/>
      <c r="BE208" s="170"/>
    </row>
    <row r="209" spans="3:57">
      <c r="C209" s="167"/>
      <c r="R209" s="211"/>
      <c r="T209" s="168"/>
      <c r="U209" s="169"/>
      <c r="V209" s="170"/>
      <c r="W209" s="170"/>
      <c r="AF209" s="171"/>
      <c r="AJ209" s="172"/>
      <c r="AK209" s="170"/>
      <c r="AM209" s="168"/>
      <c r="AN209" s="168"/>
      <c r="AV209" s="173"/>
      <c r="AW209" s="174"/>
      <c r="AY209" s="175"/>
      <c r="BB209" s="176"/>
      <c r="BC209" s="176"/>
      <c r="BD209" s="172"/>
      <c r="BE209" s="170"/>
    </row>
    <row r="210" spans="3:57">
      <c r="C210" s="167"/>
      <c r="R210" s="211"/>
      <c r="T210" s="168"/>
      <c r="U210" s="169"/>
      <c r="V210" s="170"/>
      <c r="W210" s="170"/>
      <c r="AF210" s="171"/>
      <c r="AJ210" s="172"/>
      <c r="AK210" s="170"/>
      <c r="AM210" s="168"/>
      <c r="AN210" s="168"/>
      <c r="AV210" s="173"/>
      <c r="AW210" s="174"/>
      <c r="AY210" s="175"/>
      <c r="BB210" s="176"/>
      <c r="BC210" s="176"/>
      <c r="BD210" s="172"/>
      <c r="BE210" s="170"/>
    </row>
    <row r="211" spans="3:57">
      <c r="C211" s="167"/>
      <c r="R211" s="211"/>
      <c r="T211" s="168"/>
      <c r="U211" s="169"/>
      <c r="V211" s="170"/>
      <c r="W211" s="170"/>
      <c r="AF211" s="171"/>
      <c r="AJ211" s="172"/>
      <c r="AK211" s="170"/>
      <c r="AM211" s="168"/>
      <c r="AN211" s="168"/>
      <c r="AV211" s="173"/>
      <c r="AW211" s="174"/>
      <c r="AY211" s="175"/>
      <c r="BB211" s="176"/>
      <c r="BC211" s="176"/>
      <c r="BD211" s="172"/>
      <c r="BE211" s="170"/>
    </row>
    <row r="212" spans="3:57">
      <c r="C212" s="167"/>
      <c r="R212" s="211"/>
      <c r="T212" s="168"/>
      <c r="U212" s="169"/>
      <c r="V212" s="170"/>
      <c r="W212" s="170"/>
      <c r="AF212" s="171"/>
      <c r="AJ212" s="172"/>
      <c r="AK212" s="170"/>
      <c r="AM212" s="168"/>
      <c r="AN212" s="168"/>
      <c r="AV212" s="173"/>
      <c r="AW212" s="174"/>
      <c r="AY212" s="175"/>
      <c r="BB212" s="176"/>
      <c r="BC212" s="176"/>
      <c r="BD212" s="172"/>
      <c r="BE212" s="170"/>
    </row>
    <row r="213" spans="3:57">
      <c r="C213" s="167"/>
      <c r="R213" s="211"/>
      <c r="T213" s="168"/>
      <c r="U213" s="169"/>
      <c r="V213" s="170"/>
      <c r="W213" s="170"/>
      <c r="AF213" s="171"/>
      <c r="AJ213" s="172"/>
      <c r="AK213" s="170"/>
      <c r="AM213" s="168"/>
      <c r="AN213" s="168"/>
      <c r="AV213" s="173"/>
      <c r="AW213" s="174"/>
      <c r="AY213" s="175"/>
      <c r="BB213" s="176"/>
      <c r="BC213" s="176"/>
      <c r="BD213" s="172"/>
      <c r="BE213" s="170"/>
    </row>
    <row r="214" spans="3:57">
      <c r="C214" s="167"/>
      <c r="R214" s="211"/>
      <c r="T214" s="168"/>
      <c r="U214" s="169"/>
      <c r="V214" s="170"/>
      <c r="W214" s="170"/>
      <c r="AF214" s="171"/>
      <c r="AJ214" s="172"/>
      <c r="AK214" s="170"/>
      <c r="AM214" s="168"/>
      <c r="AN214" s="168"/>
      <c r="AV214" s="173"/>
      <c r="AW214" s="174"/>
      <c r="AY214" s="175"/>
      <c r="BB214" s="176"/>
      <c r="BC214" s="176"/>
      <c r="BD214" s="172"/>
      <c r="BE214" s="170"/>
    </row>
    <row r="215" spans="3:57">
      <c r="C215" s="167"/>
      <c r="R215" s="211"/>
      <c r="T215" s="168"/>
      <c r="U215" s="169"/>
      <c r="V215" s="170"/>
      <c r="W215" s="170"/>
      <c r="AF215" s="171"/>
      <c r="AJ215" s="172"/>
      <c r="AK215" s="170"/>
      <c r="AM215" s="168"/>
      <c r="AN215" s="168"/>
      <c r="AV215" s="173"/>
      <c r="AW215" s="174"/>
      <c r="AY215" s="175"/>
      <c r="BB215" s="176"/>
      <c r="BC215" s="176"/>
      <c r="BD215" s="172"/>
      <c r="BE215" s="170"/>
    </row>
    <row r="216" spans="3:57">
      <c r="C216" s="167"/>
      <c r="R216" s="211"/>
      <c r="T216" s="168"/>
      <c r="U216" s="169"/>
      <c r="V216" s="170"/>
      <c r="W216" s="170"/>
      <c r="AF216" s="171"/>
      <c r="AJ216" s="172"/>
      <c r="AK216" s="170"/>
      <c r="AM216" s="168"/>
      <c r="AN216" s="168"/>
      <c r="AV216" s="173"/>
      <c r="AW216" s="174"/>
      <c r="AY216" s="175"/>
      <c r="BB216" s="176"/>
      <c r="BC216" s="176"/>
      <c r="BD216" s="172"/>
      <c r="BE216" s="170"/>
    </row>
    <row r="217" spans="3:57">
      <c r="C217" s="167"/>
      <c r="R217" s="211"/>
      <c r="T217" s="168"/>
      <c r="U217" s="169"/>
      <c r="V217" s="170"/>
      <c r="W217" s="170"/>
      <c r="AF217" s="171"/>
      <c r="AJ217" s="172"/>
      <c r="AK217" s="170"/>
      <c r="AM217" s="168"/>
      <c r="AN217" s="168"/>
      <c r="AV217" s="173"/>
      <c r="AW217" s="174"/>
      <c r="AY217" s="175"/>
      <c r="BB217" s="176"/>
      <c r="BC217" s="176"/>
      <c r="BD217" s="172"/>
      <c r="BE217" s="170"/>
    </row>
    <row r="218" spans="3:57">
      <c r="C218" s="167"/>
      <c r="R218" s="211"/>
      <c r="T218" s="168"/>
      <c r="U218" s="169"/>
      <c r="V218" s="170"/>
      <c r="W218" s="170"/>
      <c r="AF218" s="171"/>
      <c r="AJ218" s="172"/>
      <c r="AK218" s="170"/>
      <c r="AM218" s="168"/>
      <c r="AN218" s="168"/>
      <c r="AV218" s="173"/>
      <c r="AW218" s="174"/>
      <c r="AY218" s="175"/>
      <c r="BB218" s="176"/>
      <c r="BC218" s="176"/>
      <c r="BD218" s="172"/>
      <c r="BE218" s="170"/>
    </row>
    <row r="219" spans="3:57">
      <c r="C219" s="167"/>
      <c r="R219" s="211"/>
      <c r="T219" s="168"/>
      <c r="U219" s="169"/>
      <c r="V219" s="170"/>
      <c r="W219" s="170"/>
      <c r="AF219" s="171"/>
      <c r="AJ219" s="172"/>
      <c r="AK219" s="170"/>
      <c r="AM219" s="168"/>
      <c r="AN219" s="168"/>
      <c r="AV219" s="173"/>
      <c r="AW219" s="174"/>
      <c r="AY219" s="175"/>
      <c r="BB219" s="176"/>
      <c r="BC219" s="176"/>
      <c r="BD219" s="172"/>
      <c r="BE219" s="170"/>
    </row>
    <row r="220" spans="3:57">
      <c r="C220" s="167"/>
      <c r="R220" s="211"/>
      <c r="T220" s="168"/>
      <c r="U220" s="169"/>
      <c r="V220" s="170"/>
      <c r="W220" s="170"/>
      <c r="AF220" s="171"/>
      <c r="AJ220" s="172"/>
      <c r="AK220" s="170"/>
      <c r="AM220" s="168"/>
      <c r="AN220" s="168"/>
      <c r="AV220" s="173"/>
      <c r="AW220" s="174"/>
      <c r="AY220" s="175"/>
      <c r="BB220" s="176"/>
      <c r="BC220" s="176"/>
      <c r="BD220" s="172"/>
      <c r="BE220" s="170"/>
    </row>
    <row r="221" spans="3:57">
      <c r="C221" s="167"/>
      <c r="R221" s="211"/>
      <c r="T221" s="168"/>
      <c r="U221" s="169"/>
      <c r="V221" s="170"/>
      <c r="W221" s="170"/>
      <c r="AF221" s="171"/>
      <c r="AJ221" s="172"/>
      <c r="AK221" s="170"/>
      <c r="AM221" s="168"/>
      <c r="AN221" s="168"/>
      <c r="AV221" s="173"/>
      <c r="AW221" s="174"/>
      <c r="AY221" s="175"/>
      <c r="BB221" s="176"/>
      <c r="BC221" s="176"/>
      <c r="BD221" s="172"/>
      <c r="BE221" s="170"/>
    </row>
    <row r="222" spans="3:57">
      <c r="C222" s="167"/>
      <c r="R222" s="211"/>
      <c r="T222" s="168"/>
      <c r="U222" s="169"/>
      <c r="V222" s="170"/>
      <c r="W222" s="170"/>
      <c r="AF222" s="171"/>
      <c r="AJ222" s="172"/>
      <c r="AK222" s="170"/>
      <c r="AM222" s="168"/>
      <c r="AN222" s="168"/>
      <c r="AV222" s="173"/>
      <c r="AW222" s="174"/>
      <c r="AY222" s="175"/>
      <c r="BB222" s="176"/>
      <c r="BC222" s="176"/>
      <c r="BD222" s="172"/>
      <c r="BE222" s="170"/>
    </row>
    <row r="223" spans="3:57">
      <c r="C223" s="167"/>
      <c r="R223" s="211"/>
      <c r="T223" s="168"/>
      <c r="U223" s="169"/>
      <c r="V223" s="170"/>
      <c r="W223" s="170"/>
      <c r="AF223" s="171"/>
      <c r="AJ223" s="172"/>
      <c r="AK223" s="170"/>
      <c r="AM223" s="168"/>
      <c r="AN223" s="168"/>
      <c r="AV223" s="173"/>
      <c r="AW223" s="174"/>
      <c r="AY223" s="175"/>
      <c r="BB223" s="176"/>
      <c r="BC223" s="176"/>
      <c r="BD223" s="172"/>
      <c r="BE223" s="170"/>
    </row>
    <row r="224" spans="3:57">
      <c r="C224" s="167"/>
      <c r="R224" s="211"/>
      <c r="T224" s="168"/>
      <c r="U224" s="169"/>
      <c r="V224" s="170"/>
      <c r="W224" s="170"/>
      <c r="AF224" s="171"/>
      <c r="AJ224" s="172"/>
      <c r="AK224" s="170"/>
      <c r="AM224" s="168"/>
      <c r="AN224" s="168"/>
      <c r="AV224" s="173"/>
      <c r="AW224" s="174"/>
      <c r="AY224" s="175"/>
      <c r="BB224" s="176"/>
      <c r="BC224" s="176"/>
      <c r="BD224" s="172"/>
      <c r="BE224" s="170"/>
    </row>
    <row r="225" spans="3:57">
      <c r="C225" s="167"/>
      <c r="R225" s="211"/>
      <c r="T225" s="168"/>
      <c r="U225" s="169"/>
      <c r="V225" s="170"/>
      <c r="W225" s="170"/>
      <c r="AF225" s="171"/>
      <c r="AJ225" s="172"/>
      <c r="AK225" s="170"/>
      <c r="AM225" s="168"/>
      <c r="AN225" s="168"/>
      <c r="AV225" s="173"/>
      <c r="AW225" s="174"/>
      <c r="AY225" s="175"/>
      <c r="BB225" s="176"/>
      <c r="BC225" s="176"/>
      <c r="BD225" s="172"/>
      <c r="BE225" s="170"/>
    </row>
    <row r="226" spans="3:57">
      <c r="C226" s="167"/>
      <c r="R226" s="211"/>
      <c r="T226" s="168"/>
      <c r="U226" s="169"/>
      <c r="V226" s="170"/>
      <c r="W226" s="170"/>
      <c r="AF226" s="171"/>
      <c r="AJ226" s="172"/>
      <c r="AK226" s="170"/>
      <c r="AM226" s="168"/>
      <c r="AN226" s="168"/>
      <c r="AV226" s="173"/>
      <c r="AW226" s="174"/>
      <c r="AY226" s="175"/>
      <c r="BB226" s="176"/>
      <c r="BC226" s="176"/>
      <c r="BD226" s="172"/>
      <c r="BE226" s="170"/>
    </row>
    <row r="227" spans="3:57">
      <c r="C227" s="167"/>
      <c r="R227" s="211"/>
      <c r="T227" s="168"/>
      <c r="U227" s="169"/>
      <c r="V227" s="170"/>
      <c r="W227" s="170"/>
      <c r="AF227" s="171"/>
      <c r="AJ227" s="172"/>
      <c r="AK227" s="170"/>
      <c r="AM227" s="168"/>
      <c r="AN227" s="168"/>
      <c r="AV227" s="173"/>
      <c r="AW227" s="174"/>
      <c r="AY227" s="175"/>
      <c r="BB227" s="176"/>
      <c r="BC227" s="176"/>
      <c r="BD227" s="172"/>
      <c r="BE227" s="170"/>
    </row>
    <row r="228" spans="3:57">
      <c r="C228" s="167"/>
      <c r="R228" s="211"/>
      <c r="T228" s="168"/>
      <c r="U228" s="169"/>
      <c r="V228" s="170"/>
      <c r="W228" s="170"/>
      <c r="AF228" s="171"/>
      <c r="AJ228" s="172"/>
      <c r="AK228" s="170"/>
      <c r="AM228" s="168"/>
      <c r="AN228" s="168"/>
      <c r="AV228" s="173"/>
      <c r="AW228" s="174"/>
      <c r="AY228" s="175"/>
      <c r="BB228" s="176"/>
      <c r="BC228" s="176"/>
      <c r="BD228" s="172"/>
      <c r="BE228" s="170"/>
    </row>
    <row r="229" spans="3:57">
      <c r="C229" s="167"/>
      <c r="R229" s="211"/>
      <c r="T229" s="168"/>
      <c r="U229" s="169"/>
      <c r="V229" s="170"/>
      <c r="W229" s="170"/>
      <c r="AF229" s="171"/>
      <c r="AJ229" s="172"/>
      <c r="AK229" s="170"/>
      <c r="AM229" s="168"/>
      <c r="AN229" s="168"/>
      <c r="AV229" s="173"/>
      <c r="AW229" s="174"/>
      <c r="AY229" s="175"/>
      <c r="BB229" s="176"/>
      <c r="BC229" s="176"/>
      <c r="BD229" s="172"/>
      <c r="BE229" s="170"/>
    </row>
    <row r="230" spans="3:57">
      <c r="C230" s="167"/>
      <c r="R230" s="211"/>
      <c r="T230" s="168"/>
      <c r="U230" s="169"/>
      <c r="V230" s="170"/>
      <c r="W230" s="170"/>
      <c r="AF230" s="171"/>
      <c r="AJ230" s="172"/>
      <c r="AK230" s="170"/>
      <c r="AM230" s="168"/>
      <c r="AN230" s="168"/>
      <c r="AV230" s="173"/>
      <c r="AW230" s="174"/>
      <c r="AY230" s="175"/>
      <c r="BB230" s="176"/>
      <c r="BC230" s="176"/>
      <c r="BD230" s="172"/>
      <c r="BE230" s="170"/>
    </row>
    <row r="231" spans="3:57">
      <c r="C231" s="167"/>
      <c r="R231" s="211"/>
      <c r="T231" s="168"/>
      <c r="U231" s="169"/>
      <c r="V231" s="170"/>
      <c r="W231" s="170"/>
      <c r="AF231" s="171"/>
      <c r="AJ231" s="172"/>
      <c r="AK231" s="170"/>
      <c r="AM231" s="168"/>
      <c r="AN231" s="168"/>
      <c r="AV231" s="173"/>
      <c r="AW231" s="174"/>
      <c r="AY231" s="175"/>
      <c r="BB231" s="176"/>
      <c r="BC231" s="176"/>
      <c r="BD231" s="172"/>
      <c r="BE231" s="170"/>
    </row>
    <row r="232" spans="3:57">
      <c r="C232" s="167"/>
      <c r="R232" s="211"/>
      <c r="T232" s="168"/>
      <c r="U232" s="169"/>
      <c r="V232" s="170"/>
      <c r="W232" s="170"/>
      <c r="AF232" s="171"/>
      <c r="AJ232" s="172"/>
      <c r="AK232" s="170"/>
      <c r="AM232" s="168"/>
      <c r="AN232" s="168"/>
      <c r="AV232" s="173"/>
      <c r="AW232" s="174"/>
      <c r="AY232" s="175"/>
      <c r="BB232" s="176"/>
      <c r="BC232" s="176"/>
      <c r="BD232" s="172"/>
      <c r="BE232" s="170"/>
    </row>
    <row r="233" spans="3:57">
      <c r="C233" s="167"/>
      <c r="R233" s="211"/>
      <c r="T233" s="168"/>
      <c r="U233" s="169"/>
      <c r="V233" s="170"/>
      <c r="W233" s="170"/>
      <c r="AF233" s="171"/>
      <c r="AJ233" s="172"/>
      <c r="AK233" s="170"/>
      <c r="AM233" s="168"/>
      <c r="AN233" s="168"/>
      <c r="AV233" s="173"/>
      <c r="AW233" s="174"/>
      <c r="AY233" s="175"/>
      <c r="BB233" s="176"/>
      <c r="BC233" s="176"/>
      <c r="BD233" s="172"/>
      <c r="BE233" s="170"/>
    </row>
    <row r="234" spans="3:57">
      <c r="C234" s="167"/>
      <c r="R234" s="211"/>
      <c r="T234" s="168"/>
      <c r="U234" s="169"/>
      <c r="V234" s="170"/>
      <c r="W234" s="170"/>
      <c r="AF234" s="171"/>
      <c r="AJ234" s="172"/>
      <c r="AK234" s="170"/>
      <c r="AM234" s="168"/>
      <c r="AN234" s="168"/>
      <c r="AV234" s="173"/>
      <c r="AW234" s="174"/>
      <c r="AY234" s="175"/>
      <c r="BB234" s="176"/>
      <c r="BC234" s="176"/>
      <c r="BD234" s="172"/>
      <c r="BE234" s="170"/>
    </row>
    <row r="235" spans="3:57">
      <c r="C235" s="167"/>
      <c r="R235" s="211"/>
      <c r="T235" s="168"/>
      <c r="U235" s="169"/>
      <c r="V235" s="170"/>
      <c r="W235" s="170"/>
      <c r="AF235" s="171"/>
      <c r="AJ235" s="172"/>
      <c r="AK235" s="170"/>
      <c r="AM235" s="168"/>
      <c r="AN235" s="168"/>
      <c r="AV235" s="173"/>
      <c r="AW235" s="174"/>
      <c r="AY235" s="175"/>
      <c r="BB235" s="176"/>
      <c r="BC235" s="176"/>
      <c r="BD235" s="172"/>
      <c r="BE235" s="170"/>
    </row>
    <row r="236" spans="3:57">
      <c r="C236" s="167"/>
      <c r="R236" s="211"/>
      <c r="T236" s="168"/>
      <c r="U236" s="169"/>
      <c r="V236" s="170"/>
      <c r="W236" s="170"/>
      <c r="AF236" s="171"/>
      <c r="AJ236" s="172"/>
      <c r="AK236" s="170"/>
      <c r="AM236" s="168"/>
      <c r="AN236" s="168"/>
      <c r="AV236" s="173"/>
      <c r="AW236" s="174"/>
      <c r="AY236" s="175"/>
      <c r="BB236" s="176"/>
      <c r="BC236" s="176"/>
      <c r="BD236" s="172"/>
      <c r="BE236" s="170"/>
    </row>
    <row r="237" spans="3:57">
      <c r="C237" s="167"/>
      <c r="R237" s="211"/>
      <c r="T237" s="168"/>
      <c r="U237" s="169"/>
      <c r="V237" s="170"/>
      <c r="W237" s="170"/>
      <c r="AF237" s="171"/>
      <c r="AJ237" s="172"/>
      <c r="AK237" s="170"/>
      <c r="AM237" s="168"/>
      <c r="AN237" s="168"/>
      <c r="AV237" s="173"/>
      <c r="AW237" s="174"/>
      <c r="AY237" s="175"/>
      <c r="BB237" s="176"/>
      <c r="BC237" s="176"/>
      <c r="BD237" s="172"/>
      <c r="BE237" s="170"/>
    </row>
    <row r="238" spans="3:57">
      <c r="C238" s="167"/>
      <c r="R238" s="211"/>
      <c r="T238" s="168"/>
      <c r="U238" s="169"/>
      <c r="V238" s="170"/>
      <c r="W238" s="170"/>
      <c r="AF238" s="171"/>
      <c r="AJ238" s="172"/>
      <c r="AK238" s="170"/>
      <c r="AM238" s="168"/>
      <c r="AN238" s="168"/>
      <c r="AV238" s="173"/>
      <c r="AW238" s="174"/>
      <c r="AY238" s="175"/>
      <c r="BB238" s="176"/>
      <c r="BC238" s="176"/>
      <c r="BD238" s="172"/>
      <c r="BE238" s="170"/>
    </row>
    <row r="239" spans="3:57">
      <c r="C239" s="167"/>
      <c r="R239" s="211"/>
      <c r="T239" s="168"/>
      <c r="U239" s="169"/>
      <c r="V239" s="170"/>
      <c r="W239" s="170"/>
      <c r="AF239" s="171"/>
      <c r="AJ239" s="172"/>
      <c r="AK239" s="170"/>
      <c r="AM239" s="168"/>
      <c r="AN239" s="168"/>
      <c r="AV239" s="173"/>
      <c r="AW239" s="174"/>
      <c r="AY239" s="175"/>
      <c r="BB239" s="176"/>
      <c r="BC239" s="176"/>
      <c r="BD239" s="172"/>
      <c r="BE239" s="170"/>
    </row>
    <row r="240" spans="3:57">
      <c r="C240" s="167"/>
      <c r="R240" s="211"/>
      <c r="T240" s="168"/>
      <c r="U240" s="169"/>
      <c r="V240" s="170"/>
      <c r="W240" s="170"/>
      <c r="AF240" s="171"/>
      <c r="AJ240" s="172"/>
      <c r="AK240" s="170"/>
      <c r="AM240" s="168"/>
      <c r="AN240" s="168"/>
      <c r="AV240" s="173"/>
      <c r="AW240" s="174"/>
      <c r="AY240" s="175"/>
      <c r="BB240" s="176"/>
      <c r="BC240" s="176"/>
      <c r="BD240" s="172"/>
      <c r="BE240" s="170"/>
    </row>
    <row r="241" spans="3:57">
      <c r="C241" s="167"/>
      <c r="R241" s="211"/>
      <c r="T241" s="168"/>
      <c r="U241" s="169"/>
      <c r="V241" s="170"/>
      <c r="W241" s="170"/>
      <c r="AF241" s="171"/>
      <c r="AJ241" s="172"/>
      <c r="AK241" s="170"/>
      <c r="AM241" s="168"/>
      <c r="AN241" s="168"/>
      <c r="AV241" s="173"/>
      <c r="AW241" s="174"/>
      <c r="AY241" s="175"/>
      <c r="BB241" s="176"/>
      <c r="BC241" s="176"/>
      <c r="BD241" s="172"/>
      <c r="BE241" s="170"/>
    </row>
    <row r="242" spans="3:57">
      <c r="C242" s="167"/>
      <c r="R242" s="211"/>
      <c r="T242" s="168"/>
      <c r="U242" s="169"/>
      <c r="V242" s="170"/>
      <c r="W242" s="170"/>
      <c r="AF242" s="171"/>
      <c r="AJ242" s="172"/>
      <c r="AK242" s="170"/>
      <c r="AM242" s="168"/>
      <c r="AN242" s="168"/>
      <c r="AV242" s="173"/>
      <c r="AW242" s="174"/>
      <c r="AY242" s="175"/>
      <c r="BB242" s="176"/>
      <c r="BC242" s="176"/>
      <c r="BD242" s="172"/>
      <c r="BE242" s="170"/>
    </row>
    <row r="243" spans="3:57">
      <c r="C243" s="167"/>
      <c r="R243" s="211"/>
      <c r="T243" s="168"/>
      <c r="U243" s="169"/>
      <c r="V243" s="170"/>
      <c r="W243" s="170"/>
      <c r="AF243" s="171"/>
      <c r="AJ243" s="172"/>
      <c r="AK243" s="170"/>
      <c r="AM243" s="168"/>
      <c r="AN243" s="168"/>
      <c r="AV243" s="173"/>
      <c r="AW243" s="174"/>
      <c r="AY243" s="175"/>
      <c r="BB243" s="176"/>
      <c r="BC243" s="176"/>
      <c r="BD243" s="172"/>
      <c r="BE243" s="170"/>
    </row>
    <row r="244" spans="3:57">
      <c r="C244" s="167"/>
      <c r="R244" s="211"/>
      <c r="T244" s="168"/>
      <c r="U244" s="169"/>
      <c r="V244" s="170"/>
      <c r="W244" s="170"/>
      <c r="AF244" s="171"/>
      <c r="AJ244" s="172"/>
      <c r="AK244" s="170"/>
      <c r="AM244" s="168"/>
      <c r="AN244" s="168"/>
      <c r="AV244" s="173"/>
      <c r="AW244" s="174"/>
      <c r="AY244" s="175"/>
      <c r="BB244" s="176"/>
      <c r="BC244" s="176"/>
      <c r="BD244" s="172"/>
      <c r="BE244" s="170"/>
    </row>
    <row r="245" spans="3:57">
      <c r="C245" s="167"/>
      <c r="R245" s="211"/>
      <c r="T245" s="168"/>
      <c r="U245" s="169"/>
      <c r="V245" s="170"/>
      <c r="W245" s="170"/>
      <c r="AF245" s="171"/>
      <c r="AJ245" s="172"/>
      <c r="AK245" s="170"/>
      <c r="AM245" s="168"/>
      <c r="AN245" s="168"/>
      <c r="AV245" s="173"/>
      <c r="AW245" s="174"/>
      <c r="AY245" s="175"/>
      <c r="BB245" s="176"/>
      <c r="BC245" s="176"/>
      <c r="BD245" s="172"/>
      <c r="BE245" s="170"/>
    </row>
    <row r="246" spans="3:57">
      <c r="C246" s="167"/>
      <c r="R246" s="211"/>
      <c r="T246" s="168"/>
      <c r="U246" s="169"/>
      <c r="V246" s="170"/>
      <c r="W246" s="170"/>
      <c r="AF246" s="171"/>
      <c r="AJ246" s="172"/>
      <c r="AK246" s="170"/>
      <c r="AM246" s="168"/>
      <c r="AN246" s="168"/>
      <c r="AV246" s="173"/>
      <c r="AW246" s="174"/>
      <c r="AY246" s="175"/>
      <c r="BB246" s="176"/>
      <c r="BC246" s="176"/>
      <c r="BD246" s="172"/>
      <c r="BE246" s="170"/>
    </row>
    <row r="247" spans="3:57">
      <c r="C247" s="167"/>
      <c r="R247" s="211"/>
      <c r="T247" s="168"/>
      <c r="U247" s="169"/>
      <c r="V247" s="170"/>
      <c r="W247" s="170"/>
      <c r="AF247" s="171"/>
      <c r="AJ247" s="172"/>
      <c r="AK247" s="170"/>
      <c r="AM247" s="168"/>
      <c r="AN247" s="168"/>
      <c r="AV247" s="173"/>
      <c r="AW247" s="174"/>
      <c r="AY247" s="175"/>
      <c r="BB247" s="176"/>
      <c r="BC247" s="176"/>
      <c r="BD247" s="172"/>
      <c r="BE247" s="170"/>
    </row>
    <row r="248" spans="3:57">
      <c r="C248" s="167"/>
      <c r="R248" s="211"/>
      <c r="T248" s="168"/>
      <c r="U248" s="169"/>
      <c r="V248" s="170"/>
      <c r="W248" s="170"/>
      <c r="AF248" s="171"/>
      <c r="AJ248" s="172"/>
      <c r="AK248" s="170"/>
      <c r="AM248" s="168"/>
      <c r="AN248" s="168"/>
      <c r="AV248" s="173"/>
      <c r="AW248" s="174"/>
      <c r="AY248" s="175"/>
      <c r="BB248" s="176"/>
      <c r="BC248" s="176"/>
      <c r="BD248" s="172"/>
      <c r="BE248" s="170"/>
    </row>
    <row r="249" spans="3:57">
      <c r="C249" s="167"/>
      <c r="R249" s="211"/>
      <c r="T249" s="168"/>
      <c r="U249" s="169"/>
      <c r="V249" s="170"/>
      <c r="W249" s="170"/>
      <c r="AF249" s="171"/>
      <c r="AJ249" s="172"/>
      <c r="AK249" s="170"/>
      <c r="AM249" s="168"/>
      <c r="AN249" s="168"/>
      <c r="AV249" s="173"/>
      <c r="AW249" s="174"/>
      <c r="AY249" s="175"/>
      <c r="BB249" s="176"/>
      <c r="BC249" s="176"/>
      <c r="BD249" s="172"/>
      <c r="BE249" s="170"/>
    </row>
    <row r="250" spans="3:57">
      <c r="C250" s="167"/>
      <c r="R250" s="211"/>
      <c r="T250" s="168"/>
      <c r="U250" s="169"/>
      <c r="V250" s="170"/>
      <c r="W250" s="170"/>
      <c r="AF250" s="171"/>
      <c r="AJ250" s="172"/>
      <c r="AK250" s="170"/>
      <c r="AM250" s="168"/>
      <c r="AN250" s="168"/>
      <c r="AV250" s="173"/>
      <c r="AW250" s="174"/>
      <c r="AY250" s="175"/>
      <c r="BB250" s="176"/>
      <c r="BC250" s="176"/>
      <c r="BD250" s="172"/>
      <c r="BE250" s="170"/>
    </row>
    <row r="251" spans="3:57">
      <c r="C251" s="167"/>
      <c r="R251" s="211"/>
      <c r="T251" s="168"/>
      <c r="U251" s="169"/>
      <c r="V251" s="170"/>
      <c r="W251" s="170"/>
      <c r="AF251" s="171"/>
      <c r="AJ251" s="172"/>
      <c r="AK251" s="170"/>
      <c r="AM251" s="168"/>
      <c r="AN251" s="168"/>
      <c r="AV251" s="173"/>
      <c r="AW251" s="174"/>
      <c r="AY251" s="175"/>
      <c r="BB251" s="176"/>
      <c r="BC251" s="176"/>
      <c r="BD251" s="172"/>
      <c r="BE251" s="170"/>
    </row>
    <row r="252" spans="3:57">
      <c r="C252" s="167"/>
      <c r="R252" s="211"/>
      <c r="T252" s="168"/>
      <c r="U252" s="169"/>
      <c r="V252" s="170"/>
      <c r="W252" s="170"/>
      <c r="AF252" s="171"/>
      <c r="AJ252" s="172"/>
      <c r="AK252" s="170"/>
      <c r="AM252" s="168"/>
      <c r="AN252" s="168"/>
      <c r="AV252" s="173"/>
      <c r="AW252" s="174"/>
      <c r="AY252" s="175"/>
      <c r="BB252" s="176"/>
      <c r="BC252" s="176"/>
      <c r="BD252" s="172"/>
      <c r="BE252" s="170"/>
    </row>
    <row r="253" spans="3:57">
      <c r="C253" s="167"/>
      <c r="R253" s="211"/>
      <c r="T253" s="168"/>
      <c r="U253" s="169"/>
      <c r="V253" s="170"/>
      <c r="W253" s="170"/>
      <c r="AF253" s="171"/>
      <c r="AJ253" s="172"/>
      <c r="AK253" s="170"/>
      <c r="AM253" s="168"/>
      <c r="AN253" s="168"/>
      <c r="AV253" s="173"/>
      <c r="AW253" s="174"/>
      <c r="AY253" s="175"/>
      <c r="BB253" s="176"/>
      <c r="BC253" s="176"/>
      <c r="BD253" s="172"/>
      <c r="BE253" s="170"/>
    </row>
    <row r="254" spans="3:57">
      <c r="C254" s="167"/>
      <c r="R254" s="211"/>
      <c r="T254" s="168"/>
      <c r="U254" s="169"/>
      <c r="V254" s="170"/>
      <c r="W254" s="170"/>
      <c r="AF254" s="171"/>
      <c r="AJ254" s="172"/>
      <c r="AK254" s="170"/>
      <c r="AM254" s="168"/>
      <c r="AN254" s="168"/>
      <c r="AV254" s="173"/>
      <c r="AW254" s="174"/>
      <c r="AY254" s="175"/>
      <c r="BB254" s="176"/>
      <c r="BC254" s="176"/>
      <c r="BD254" s="172"/>
      <c r="BE254" s="170"/>
    </row>
    <row r="255" spans="3:57">
      <c r="C255" s="167"/>
      <c r="R255" s="211"/>
      <c r="T255" s="168"/>
      <c r="U255" s="169"/>
      <c r="V255" s="170"/>
      <c r="W255" s="170"/>
      <c r="AF255" s="171"/>
      <c r="AJ255" s="172"/>
      <c r="AK255" s="170"/>
      <c r="AM255" s="168"/>
      <c r="AN255" s="168"/>
      <c r="AV255" s="173"/>
      <c r="AW255" s="174"/>
      <c r="AY255" s="175"/>
      <c r="BB255" s="176"/>
      <c r="BC255" s="176"/>
      <c r="BD255" s="172"/>
      <c r="BE255" s="170"/>
    </row>
    <row r="256" spans="3:57">
      <c r="C256" s="167"/>
      <c r="R256" s="211"/>
      <c r="T256" s="168"/>
      <c r="U256" s="169"/>
      <c r="V256" s="170"/>
      <c r="W256" s="170"/>
      <c r="AF256" s="171"/>
      <c r="AJ256" s="172"/>
      <c r="AK256" s="170"/>
      <c r="AM256" s="168"/>
      <c r="AN256" s="168"/>
      <c r="AV256" s="173"/>
      <c r="AW256" s="174"/>
      <c r="AY256" s="175"/>
      <c r="BB256" s="176"/>
      <c r="BC256" s="176"/>
      <c r="BD256" s="172"/>
      <c r="BE256" s="170"/>
    </row>
    <row r="257" spans="3:57">
      <c r="C257" s="167"/>
      <c r="R257" s="211"/>
      <c r="T257" s="168"/>
      <c r="U257" s="169"/>
      <c r="V257" s="170"/>
      <c r="W257" s="170"/>
      <c r="AF257" s="171"/>
      <c r="AJ257" s="172"/>
      <c r="AK257" s="170"/>
      <c r="AM257" s="168"/>
      <c r="AN257" s="168"/>
      <c r="AV257" s="173"/>
      <c r="AW257" s="174"/>
      <c r="AY257" s="175"/>
      <c r="BB257" s="176"/>
      <c r="BC257" s="176"/>
      <c r="BD257" s="172"/>
      <c r="BE257" s="170"/>
    </row>
    <row r="258" spans="3:57">
      <c r="C258" s="167"/>
      <c r="R258" s="211"/>
      <c r="T258" s="168"/>
      <c r="U258" s="169"/>
      <c r="V258" s="170"/>
      <c r="W258" s="170"/>
      <c r="AF258" s="171"/>
      <c r="AJ258" s="172"/>
      <c r="AK258" s="170"/>
      <c r="AM258" s="168"/>
      <c r="AN258" s="168"/>
      <c r="AV258" s="173"/>
      <c r="AW258" s="174"/>
      <c r="AY258" s="175"/>
      <c r="BB258" s="176"/>
      <c r="BC258" s="176"/>
      <c r="BD258" s="172"/>
      <c r="BE258" s="170"/>
    </row>
    <row r="259" spans="3:57">
      <c r="C259" s="167"/>
      <c r="R259" s="211"/>
      <c r="T259" s="168"/>
      <c r="U259" s="169"/>
      <c r="V259" s="170"/>
      <c r="W259" s="170"/>
      <c r="AF259" s="171"/>
      <c r="AJ259" s="172"/>
      <c r="AK259" s="170"/>
      <c r="AM259" s="168"/>
      <c r="AN259" s="168"/>
      <c r="AV259" s="173"/>
      <c r="AW259" s="174"/>
      <c r="AY259" s="175"/>
      <c r="BB259" s="176"/>
      <c r="BC259" s="176"/>
      <c r="BD259" s="172"/>
      <c r="BE259" s="170"/>
    </row>
    <row r="260" spans="3:57">
      <c r="C260" s="167"/>
      <c r="R260" s="211"/>
      <c r="T260" s="168"/>
      <c r="U260" s="169"/>
      <c r="V260" s="170"/>
      <c r="W260" s="170"/>
      <c r="AF260" s="171"/>
      <c r="AJ260" s="172"/>
      <c r="AK260" s="170"/>
      <c r="AM260" s="168"/>
      <c r="AN260" s="168"/>
      <c r="AV260" s="173"/>
      <c r="AW260" s="174"/>
      <c r="AY260" s="175"/>
      <c r="BB260" s="176"/>
      <c r="BC260" s="176"/>
      <c r="BD260" s="172"/>
      <c r="BE260" s="170"/>
    </row>
    <row r="261" spans="3:57">
      <c r="C261" s="167"/>
      <c r="R261" s="211"/>
      <c r="T261" s="168"/>
      <c r="U261" s="169"/>
      <c r="V261" s="170"/>
      <c r="W261" s="170"/>
      <c r="AF261" s="171"/>
      <c r="AJ261" s="172"/>
      <c r="AK261" s="170"/>
      <c r="AM261" s="168"/>
      <c r="AN261" s="168"/>
      <c r="AV261" s="173"/>
      <c r="AW261" s="174"/>
      <c r="AY261" s="175"/>
      <c r="BB261" s="176"/>
      <c r="BC261" s="176"/>
      <c r="BD261" s="172"/>
      <c r="BE261" s="170"/>
    </row>
    <row r="262" spans="3:57">
      <c r="C262" s="167"/>
      <c r="R262" s="211"/>
      <c r="T262" s="168"/>
      <c r="U262" s="169"/>
      <c r="V262" s="170"/>
      <c r="W262" s="170"/>
      <c r="AF262" s="171"/>
      <c r="AJ262" s="172"/>
      <c r="AK262" s="170"/>
      <c r="AM262" s="168"/>
      <c r="AN262" s="168"/>
      <c r="AV262" s="173"/>
      <c r="AW262" s="174"/>
      <c r="AY262" s="175"/>
      <c r="BB262" s="176"/>
      <c r="BC262" s="176"/>
      <c r="BD262" s="172"/>
      <c r="BE262" s="170"/>
    </row>
    <row r="263" spans="3:57">
      <c r="C263" s="167"/>
      <c r="R263" s="211"/>
      <c r="T263" s="168"/>
      <c r="U263" s="169"/>
      <c r="V263" s="170"/>
      <c r="W263" s="170"/>
      <c r="AF263" s="171"/>
      <c r="AJ263" s="172"/>
      <c r="AK263" s="170"/>
      <c r="AM263" s="168"/>
      <c r="AN263" s="168"/>
      <c r="AV263" s="173"/>
      <c r="AW263" s="174"/>
      <c r="AY263" s="175"/>
      <c r="BB263" s="176"/>
      <c r="BC263" s="176"/>
      <c r="BD263" s="172"/>
      <c r="BE263" s="170"/>
    </row>
    <row r="264" spans="3:57">
      <c r="C264" s="167"/>
      <c r="R264" s="211"/>
      <c r="T264" s="168"/>
      <c r="U264" s="169"/>
      <c r="V264" s="170"/>
      <c r="W264" s="170"/>
      <c r="AF264" s="171"/>
      <c r="AJ264" s="172"/>
      <c r="AK264" s="170"/>
      <c r="AM264" s="168"/>
      <c r="AN264" s="168"/>
      <c r="AV264" s="173"/>
      <c r="AW264" s="174"/>
      <c r="AY264" s="175"/>
      <c r="BB264" s="176"/>
      <c r="BC264" s="176"/>
      <c r="BD264" s="172"/>
      <c r="BE264" s="170"/>
    </row>
    <row r="265" spans="3:57">
      <c r="C265" s="167"/>
      <c r="R265" s="211"/>
      <c r="T265" s="168"/>
      <c r="U265" s="169"/>
      <c r="V265" s="170"/>
      <c r="W265" s="170"/>
      <c r="AF265" s="171"/>
      <c r="AJ265" s="172"/>
      <c r="AK265" s="170"/>
      <c r="AM265" s="168"/>
      <c r="AN265" s="168"/>
      <c r="AV265" s="173"/>
      <c r="AW265" s="174"/>
      <c r="AY265" s="175"/>
      <c r="BB265" s="176"/>
      <c r="BC265" s="176"/>
      <c r="BD265" s="172"/>
      <c r="BE265" s="170"/>
    </row>
    <row r="266" spans="3:57">
      <c r="C266" s="167"/>
      <c r="R266" s="211"/>
      <c r="T266" s="168"/>
      <c r="U266" s="169"/>
      <c r="V266" s="170"/>
      <c r="W266" s="170"/>
      <c r="AF266" s="171"/>
      <c r="AJ266" s="172"/>
      <c r="AK266" s="170"/>
      <c r="AM266" s="168"/>
      <c r="AN266" s="168"/>
      <c r="AV266" s="173"/>
      <c r="AW266" s="174"/>
      <c r="AY266" s="175"/>
      <c r="BB266" s="176"/>
      <c r="BC266" s="176"/>
      <c r="BD266" s="172"/>
      <c r="BE266" s="170"/>
    </row>
    <row r="267" spans="3:57">
      <c r="C267" s="167"/>
      <c r="R267" s="211"/>
      <c r="T267" s="168"/>
      <c r="U267" s="169"/>
      <c r="V267" s="170"/>
      <c r="W267" s="170"/>
      <c r="AF267" s="171"/>
      <c r="AJ267" s="172"/>
      <c r="AK267" s="170"/>
      <c r="AM267" s="168"/>
      <c r="AN267" s="168"/>
      <c r="AV267" s="173"/>
      <c r="AW267" s="174"/>
      <c r="AY267" s="175"/>
      <c r="BB267" s="176"/>
      <c r="BC267" s="176"/>
      <c r="BD267" s="172"/>
      <c r="BE267" s="170"/>
    </row>
    <row r="268" spans="3:57">
      <c r="C268" s="167"/>
      <c r="R268" s="211"/>
      <c r="T268" s="168"/>
      <c r="U268" s="169"/>
      <c r="V268" s="170"/>
      <c r="W268" s="170"/>
      <c r="AF268" s="171"/>
      <c r="AJ268" s="172"/>
      <c r="AK268" s="170"/>
      <c r="AM268" s="168"/>
      <c r="AN268" s="168"/>
      <c r="AV268" s="173"/>
      <c r="AW268" s="174"/>
      <c r="AY268" s="175"/>
      <c r="BB268" s="176"/>
      <c r="BC268" s="176"/>
      <c r="BD268" s="172"/>
      <c r="BE268" s="170"/>
    </row>
    <row r="269" spans="3:57">
      <c r="C269" s="167"/>
      <c r="R269" s="211"/>
      <c r="T269" s="168"/>
      <c r="U269" s="169"/>
      <c r="V269" s="170"/>
      <c r="W269" s="170"/>
      <c r="AF269" s="171"/>
      <c r="AJ269" s="172"/>
      <c r="AK269" s="170"/>
      <c r="AM269" s="168"/>
      <c r="AN269" s="168"/>
      <c r="AV269" s="173"/>
      <c r="AW269" s="174"/>
      <c r="AY269" s="175"/>
      <c r="BB269" s="176"/>
      <c r="BC269" s="176"/>
      <c r="BD269" s="172"/>
      <c r="BE269" s="170"/>
    </row>
    <row r="270" spans="3:57">
      <c r="C270" s="167"/>
      <c r="R270" s="211"/>
      <c r="T270" s="168"/>
      <c r="U270" s="169"/>
      <c r="V270" s="170"/>
      <c r="W270" s="170"/>
      <c r="AF270" s="171"/>
      <c r="AJ270" s="172"/>
      <c r="AK270" s="170"/>
      <c r="AM270" s="168"/>
      <c r="AN270" s="168"/>
      <c r="AV270" s="173"/>
      <c r="AW270" s="174"/>
      <c r="AY270" s="175"/>
      <c r="BB270" s="176"/>
      <c r="BC270" s="176"/>
      <c r="BD270" s="172"/>
      <c r="BE270" s="170"/>
    </row>
    <row r="271" spans="3:57">
      <c r="C271" s="167"/>
      <c r="R271" s="211"/>
      <c r="T271" s="168"/>
      <c r="U271" s="169"/>
      <c r="V271" s="170"/>
      <c r="W271" s="170"/>
      <c r="AF271" s="171"/>
      <c r="AJ271" s="172"/>
      <c r="AK271" s="170"/>
      <c r="AM271" s="168"/>
      <c r="AN271" s="168"/>
      <c r="AV271" s="173"/>
      <c r="AW271" s="174"/>
      <c r="AY271" s="175"/>
      <c r="BB271" s="176"/>
      <c r="BC271" s="176"/>
      <c r="BD271" s="172"/>
      <c r="BE271" s="170"/>
    </row>
    <row r="272" spans="3:57">
      <c r="C272" s="167"/>
      <c r="R272" s="211"/>
      <c r="T272" s="168"/>
      <c r="U272" s="169"/>
      <c r="V272" s="170"/>
      <c r="W272" s="170"/>
      <c r="AF272" s="171"/>
      <c r="AJ272" s="172"/>
      <c r="AK272" s="170"/>
      <c r="AM272" s="168"/>
      <c r="AN272" s="168"/>
      <c r="AV272" s="173"/>
      <c r="AW272" s="174"/>
      <c r="AY272" s="175"/>
      <c r="BB272" s="176"/>
      <c r="BC272" s="176"/>
      <c r="BD272" s="172"/>
      <c r="BE272" s="170"/>
    </row>
    <row r="273" spans="3:57">
      <c r="C273" s="167"/>
      <c r="R273" s="211"/>
      <c r="T273" s="168"/>
      <c r="U273" s="169"/>
      <c r="V273" s="170"/>
      <c r="W273" s="170"/>
      <c r="AF273" s="171"/>
      <c r="AJ273" s="172"/>
      <c r="AK273" s="170"/>
      <c r="AM273" s="168"/>
      <c r="AN273" s="168"/>
      <c r="AV273" s="173"/>
      <c r="AW273" s="174"/>
      <c r="AY273" s="175"/>
      <c r="BB273" s="176"/>
      <c r="BC273" s="176"/>
      <c r="BD273" s="172"/>
      <c r="BE273" s="170"/>
    </row>
    <row r="274" spans="3:57">
      <c r="C274" s="167"/>
      <c r="R274" s="211"/>
      <c r="T274" s="168"/>
      <c r="U274" s="169"/>
      <c r="V274" s="170"/>
      <c r="W274" s="170"/>
      <c r="AF274" s="171"/>
      <c r="AJ274" s="172"/>
      <c r="AK274" s="170"/>
      <c r="AM274" s="168"/>
      <c r="AN274" s="168"/>
      <c r="AV274" s="173"/>
      <c r="AW274" s="174"/>
      <c r="AY274" s="175"/>
      <c r="BB274" s="176"/>
      <c r="BC274" s="176"/>
      <c r="BD274" s="172"/>
      <c r="BE274" s="170"/>
    </row>
    <row r="275" spans="3:57">
      <c r="C275" s="167"/>
      <c r="R275" s="211"/>
      <c r="T275" s="168"/>
      <c r="U275" s="169"/>
      <c r="V275" s="170"/>
      <c r="W275" s="170"/>
      <c r="AF275" s="171"/>
      <c r="AJ275" s="172"/>
      <c r="AK275" s="170"/>
      <c r="AM275" s="168"/>
      <c r="AN275" s="168"/>
      <c r="AV275" s="173"/>
      <c r="AW275" s="174"/>
      <c r="AY275" s="175"/>
      <c r="BB275" s="176"/>
      <c r="BC275" s="176"/>
      <c r="BD275" s="172"/>
      <c r="BE275" s="170"/>
    </row>
    <row r="276" spans="3:57">
      <c r="C276" s="167"/>
      <c r="R276" s="211"/>
      <c r="T276" s="168"/>
      <c r="U276" s="169"/>
      <c r="V276" s="170"/>
      <c r="W276" s="170"/>
      <c r="AF276" s="171"/>
      <c r="AJ276" s="172"/>
      <c r="AK276" s="170"/>
      <c r="AM276" s="168"/>
      <c r="AN276" s="168"/>
      <c r="AV276" s="173"/>
      <c r="AW276" s="174"/>
      <c r="AY276" s="175"/>
      <c r="BB276" s="176"/>
      <c r="BC276" s="176"/>
      <c r="BD276" s="172"/>
      <c r="BE276" s="170"/>
    </row>
    <row r="277" spans="3:57">
      <c r="C277" s="167"/>
      <c r="R277" s="211"/>
      <c r="T277" s="168"/>
      <c r="U277" s="169"/>
      <c r="V277" s="170"/>
      <c r="W277" s="170"/>
      <c r="AF277" s="171"/>
      <c r="AJ277" s="172"/>
      <c r="AK277" s="170"/>
      <c r="AM277" s="168"/>
      <c r="AN277" s="168"/>
      <c r="AV277" s="173"/>
      <c r="AW277" s="174"/>
      <c r="AY277" s="175"/>
      <c r="BB277" s="176"/>
      <c r="BC277" s="176"/>
      <c r="BD277" s="172"/>
      <c r="BE277" s="170"/>
    </row>
    <row r="278" spans="3:57">
      <c r="C278" s="167"/>
      <c r="R278" s="211"/>
      <c r="T278" s="168"/>
      <c r="U278" s="169"/>
      <c r="V278" s="170"/>
      <c r="W278" s="170"/>
      <c r="AF278" s="171"/>
      <c r="AJ278" s="172"/>
      <c r="AK278" s="170"/>
      <c r="AM278" s="168"/>
      <c r="AN278" s="168"/>
      <c r="AV278" s="173"/>
      <c r="AW278" s="174"/>
      <c r="AY278" s="175"/>
      <c r="BB278" s="176"/>
      <c r="BC278" s="176"/>
      <c r="BD278" s="172"/>
      <c r="BE278" s="170"/>
    </row>
    <row r="279" spans="3:57">
      <c r="C279" s="167"/>
      <c r="R279" s="211"/>
      <c r="T279" s="168"/>
      <c r="U279" s="169"/>
      <c r="V279" s="170"/>
      <c r="W279" s="170"/>
      <c r="AF279" s="171"/>
      <c r="AJ279" s="172"/>
      <c r="AK279" s="170"/>
      <c r="AM279" s="168"/>
      <c r="AN279" s="168"/>
      <c r="AV279" s="173"/>
      <c r="AW279" s="174"/>
      <c r="AY279" s="175"/>
      <c r="BB279" s="176"/>
      <c r="BC279" s="176"/>
      <c r="BD279" s="172"/>
      <c r="BE279" s="170"/>
    </row>
    <row r="280" spans="3:57">
      <c r="C280" s="167"/>
      <c r="R280" s="211"/>
      <c r="T280" s="168"/>
      <c r="U280" s="169"/>
      <c r="V280" s="170"/>
      <c r="W280" s="170"/>
      <c r="AF280" s="171"/>
      <c r="AJ280" s="172"/>
      <c r="AK280" s="170"/>
      <c r="AM280" s="168"/>
      <c r="AN280" s="168"/>
      <c r="AV280" s="173"/>
      <c r="AW280" s="174"/>
      <c r="AY280" s="175"/>
      <c r="BB280" s="176"/>
      <c r="BC280" s="176"/>
      <c r="BD280" s="172"/>
      <c r="BE280" s="170"/>
    </row>
    <row r="281" spans="3:57">
      <c r="C281" s="167"/>
      <c r="R281" s="211"/>
      <c r="T281" s="168"/>
      <c r="U281" s="169"/>
      <c r="V281" s="170"/>
      <c r="W281" s="170"/>
      <c r="AF281" s="171"/>
      <c r="AJ281" s="172"/>
      <c r="AK281" s="170"/>
      <c r="AM281" s="168"/>
      <c r="AN281" s="168"/>
      <c r="AV281" s="173"/>
      <c r="AW281" s="174"/>
      <c r="AY281" s="175"/>
      <c r="BB281" s="176"/>
      <c r="BC281" s="176"/>
      <c r="BD281" s="172"/>
      <c r="BE281" s="170"/>
    </row>
    <row r="282" spans="3:57">
      <c r="C282" s="167"/>
      <c r="R282" s="211"/>
      <c r="T282" s="168"/>
      <c r="U282" s="169"/>
      <c r="V282" s="170"/>
      <c r="W282" s="170"/>
      <c r="AF282" s="171"/>
      <c r="AJ282" s="172"/>
      <c r="AK282" s="170"/>
      <c r="AM282" s="168"/>
      <c r="AN282" s="168"/>
      <c r="AV282" s="173"/>
      <c r="AW282" s="174"/>
      <c r="AY282" s="175"/>
      <c r="BB282" s="176"/>
      <c r="BC282" s="176"/>
      <c r="BD282" s="172"/>
      <c r="BE282" s="170"/>
    </row>
    <row r="283" spans="3:57">
      <c r="C283" s="167"/>
      <c r="R283" s="211"/>
      <c r="T283" s="168"/>
      <c r="U283" s="169"/>
      <c r="V283" s="170"/>
      <c r="W283" s="170"/>
      <c r="AF283" s="171"/>
      <c r="AJ283" s="172"/>
      <c r="AK283" s="170"/>
      <c r="AM283" s="168"/>
      <c r="AN283" s="168"/>
      <c r="AV283" s="173"/>
      <c r="AW283" s="174"/>
      <c r="AY283" s="175"/>
      <c r="BB283" s="176"/>
      <c r="BC283" s="176"/>
      <c r="BD283" s="172"/>
      <c r="BE283" s="170"/>
    </row>
    <row r="284" spans="3:57">
      <c r="C284" s="167"/>
      <c r="R284" s="211"/>
      <c r="T284" s="168"/>
      <c r="U284" s="169"/>
      <c r="V284" s="170"/>
      <c r="W284" s="170"/>
      <c r="AF284" s="171"/>
      <c r="AJ284" s="172"/>
      <c r="AK284" s="170"/>
      <c r="AM284" s="168"/>
      <c r="AN284" s="168"/>
      <c r="AV284" s="173"/>
      <c r="AW284" s="174"/>
      <c r="AY284" s="175"/>
      <c r="BB284" s="176"/>
      <c r="BC284" s="176"/>
      <c r="BD284" s="172"/>
      <c r="BE284" s="170"/>
    </row>
    <row r="285" spans="3:57">
      <c r="C285" s="167"/>
      <c r="R285" s="211"/>
      <c r="T285" s="168"/>
      <c r="U285" s="169"/>
      <c r="V285" s="170"/>
      <c r="W285" s="170"/>
      <c r="AF285" s="171"/>
      <c r="AJ285" s="172"/>
      <c r="AK285" s="170"/>
      <c r="AM285" s="168"/>
      <c r="AN285" s="168"/>
      <c r="AV285" s="173"/>
      <c r="AW285" s="174"/>
      <c r="AY285" s="175"/>
      <c r="BB285" s="176"/>
      <c r="BC285" s="176"/>
      <c r="BD285" s="172"/>
      <c r="BE285" s="170"/>
    </row>
    <row r="286" spans="3:57">
      <c r="C286" s="167"/>
      <c r="R286" s="211"/>
      <c r="T286" s="168"/>
      <c r="U286" s="169"/>
      <c r="V286" s="170"/>
      <c r="W286" s="170"/>
      <c r="AF286" s="171"/>
      <c r="AJ286" s="172"/>
      <c r="AK286" s="170"/>
      <c r="AM286" s="168"/>
      <c r="AN286" s="168"/>
      <c r="AV286" s="173"/>
      <c r="AW286" s="174"/>
      <c r="AY286" s="175"/>
      <c r="BB286" s="176"/>
      <c r="BC286" s="176"/>
      <c r="BD286" s="172"/>
      <c r="BE286" s="170"/>
    </row>
    <row r="287" spans="3:57">
      <c r="C287" s="167"/>
      <c r="R287" s="211"/>
      <c r="T287" s="168"/>
      <c r="U287" s="169"/>
      <c r="V287" s="170"/>
      <c r="W287" s="170"/>
      <c r="AF287" s="171"/>
      <c r="AJ287" s="172"/>
      <c r="AK287" s="170"/>
      <c r="AM287" s="168"/>
      <c r="AN287" s="168"/>
      <c r="AV287" s="173"/>
      <c r="AW287" s="174"/>
      <c r="AY287" s="175"/>
      <c r="BB287" s="176"/>
      <c r="BC287" s="176"/>
      <c r="BD287" s="172"/>
      <c r="BE287" s="170"/>
    </row>
    <row r="288" spans="3:57">
      <c r="C288" s="167"/>
      <c r="R288" s="211"/>
      <c r="T288" s="168"/>
      <c r="U288" s="169"/>
      <c r="V288" s="170"/>
      <c r="W288" s="170"/>
      <c r="AF288" s="171"/>
      <c r="AJ288" s="172"/>
      <c r="AK288" s="170"/>
      <c r="AM288" s="168"/>
      <c r="AN288" s="168"/>
      <c r="AV288" s="173"/>
      <c r="AW288" s="174"/>
      <c r="AY288" s="175"/>
      <c r="BB288" s="176"/>
      <c r="BC288" s="176"/>
      <c r="BD288" s="172"/>
      <c r="BE288" s="170"/>
    </row>
    <row r="289" spans="3:57">
      <c r="C289" s="167"/>
      <c r="R289" s="211"/>
      <c r="T289" s="168"/>
      <c r="U289" s="169"/>
      <c r="V289" s="170"/>
      <c r="W289" s="170"/>
      <c r="AF289" s="171"/>
      <c r="AJ289" s="172"/>
      <c r="AK289" s="170"/>
      <c r="AM289" s="168"/>
      <c r="AN289" s="168"/>
      <c r="AV289" s="173"/>
      <c r="AW289" s="174"/>
      <c r="AY289" s="175"/>
      <c r="BB289" s="176"/>
      <c r="BC289" s="176"/>
      <c r="BD289" s="172"/>
      <c r="BE289" s="170"/>
    </row>
    <row r="290" spans="3:57">
      <c r="C290" s="167"/>
      <c r="R290" s="211"/>
      <c r="T290" s="168"/>
      <c r="U290" s="169"/>
      <c r="V290" s="170"/>
      <c r="W290" s="170"/>
      <c r="AF290" s="171"/>
      <c r="AJ290" s="172"/>
      <c r="AK290" s="170"/>
      <c r="AM290" s="168"/>
      <c r="AN290" s="168"/>
      <c r="AV290" s="173"/>
      <c r="AW290" s="174"/>
      <c r="AY290" s="175"/>
      <c r="BB290" s="176"/>
      <c r="BC290" s="176"/>
      <c r="BD290" s="172"/>
      <c r="BE290" s="170"/>
    </row>
    <row r="291" spans="3:57">
      <c r="C291" s="167"/>
      <c r="R291" s="211"/>
      <c r="T291" s="168"/>
      <c r="U291" s="169"/>
      <c r="V291" s="170"/>
      <c r="W291" s="170"/>
      <c r="AF291" s="171"/>
      <c r="AJ291" s="172"/>
      <c r="AK291" s="170"/>
      <c r="AM291" s="168"/>
      <c r="AN291" s="168"/>
      <c r="AV291" s="173"/>
      <c r="AW291" s="174"/>
      <c r="AY291" s="175"/>
      <c r="BB291" s="176"/>
      <c r="BC291" s="176"/>
      <c r="BD291" s="172"/>
      <c r="BE291" s="170"/>
    </row>
    <row r="292" spans="3:57">
      <c r="C292" s="167"/>
      <c r="R292" s="211"/>
      <c r="T292" s="168"/>
      <c r="U292" s="169"/>
      <c r="V292" s="170"/>
      <c r="W292" s="170"/>
      <c r="AF292" s="171"/>
      <c r="AJ292" s="172"/>
      <c r="AK292" s="170"/>
      <c r="AM292" s="168"/>
      <c r="AN292" s="168"/>
      <c r="AV292" s="173"/>
      <c r="AW292" s="174"/>
      <c r="AY292" s="175"/>
      <c r="BB292" s="176"/>
      <c r="BC292" s="176"/>
      <c r="BD292" s="172"/>
      <c r="BE292" s="170"/>
    </row>
    <row r="293" spans="3:57">
      <c r="C293" s="167"/>
      <c r="R293" s="211"/>
      <c r="T293" s="168"/>
      <c r="U293" s="169"/>
      <c r="V293" s="170"/>
      <c r="W293" s="170"/>
      <c r="AF293" s="171"/>
      <c r="AJ293" s="172"/>
      <c r="AK293" s="170"/>
      <c r="AM293" s="168"/>
      <c r="AN293" s="168"/>
      <c r="AV293" s="173"/>
      <c r="AW293" s="174"/>
      <c r="AY293" s="175"/>
      <c r="BB293" s="176"/>
      <c r="BC293" s="176"/>
      <c r="BD293" s="172"/>
      <c r="BE293" s="170"/>
    </row>
    <row r="294" spans="3:57">
      <c r="C294" s="167"/>
      <c r="R294" s="211"/>
      <c r="T294" s="168"/>
      <c r="U294" s="169"/>
      <c r="V294" s="170"/>
      <c r="W294" s="170"/>
      <c r="AF294" s="171"/>
      <c r="AJ294" s="172"/>
      <c r="AK294" s="170"/>
      <c r="AM294" s="168"/>
      <c r="AN294" s="168"/>
      <c r="AV294" s="173"/>
      <c r="AW294" s="174"/>
      <c r="AY294" s="175"/>
      <c r="BB294" s="176"/>
      <c r="BC294" s="176"/>
      <c r="BD294" s="172"/>
      <c r="BE294" s="170"/>
    </row>
    <row r="295" spans="3:57">
      <c r="C295" s="167"/>
      <c r="R295" s="211"/>
      <c r="T295" s="168"/>
      <c r="U295" s="169"/>
      <c r="V295" s="170"/>
      <c r="W295" s="170"/>
      <c r="AF295" s="171"/>
      <c r="AJ295" s="172"/>
      <c r="AK295" s="170"/>
      <c r="AM295" s="168"/>
      <c r="AN295" s="168"/>
      <c r="AV295" s="173"/>
      <c r="AW295" s="174"/>
      <c r="AY295" s="175"/>
      <c r="BB295" s="176"/>
      <c r="BC295" s="176"/>
      <c r="BD295" s="172"/>
      <c r="BE295" s="170"/>
    </row>
    <row r="296" spans="3:57">
      <c r="C296" s="167"/>
      <c r="R296" s="211"/>
      <c r="T296" s="168"/>
      <c r="U296" s="169"/>
      <c r="V296" s="170"/>
      <c r="W296" s="170"/>
      <c r="AF296" s="171"/>
      <c r="AJ296" s="172"/>
      <c r="AK296" s="170"/>
      <c r="AM296" s="168"/>
      <c r="AN296" s="168"/>
      <c r="AV296" s="173"/>
      <c r="AW296" s="174"/>
      <c r="AY296" s="175"/>
      <c r="BB296" s="176"/>
      <c r="BC296" s="176"/>
      <c r="BD296" s="172"/>
      <c r="BE296" s="170"/>
    </row>
    <row r="297" spans="3:57">
      <c r="C297" s="167"/>
      <c r="R297" s="211"/>
      <c r="T297" s="168"/>
      <c r="U297" s="169"/>
      <c r="V297" s="170"/>
      <c r="W297" s="170"/>
      <c r="AF297" s="171"/>
      <c r="AJ297" s="172"/>
      <c r="AK297" s="170"/>
      <c r="AM297" s="168"/>
      <c r="AN297" s="168"/>
      <c r="AV297" s="173"/>
      <c r="AW297" s="174"/>
      <c r="AY297" s="175"/>
      <c r="BB297" s="176"/>
      <c r="BC297" s="176"/>
      <c r="BD297" s="172"/>
      <c r="BE297" s="170"/>
    </row>
    <row r="298" spans="3:57">
      <c r="C298" s="167"/>
      <c r="R298" s="211"/>
      <c r="T298" s="168"/>
      <c r="U298" s="169"/>
      <c r="V298" s="170"/>
      <c r="W298" s="170"/>
      <c r="AF298" s="171"/>
      <c r="AJ298" s="172"/>
      <c r="AK298" s="170"/>
      <c r="AM298" s="168"/>
      <c r="AN298" s="168"/>
      <c r="AV298" s="173"/>
      <c r="AW298" s="174"/>
      <c r="AY298" s="175"/>
      <c r="BB298" s="176"/>
      <c r="BC298" s="176"/>
      <c r="BD298" s="172"/>
      <c r="BE298" s="170"/>
    </row>
    <row r="299" spans="3:57">
      <c r="C299" s="167"/>
      <c r="R299" s="211"/>
      <c r="T299" s="168"/>
      <c r="U299" s="169"/>
      <c r="V299" s="170"/>
      <c r="W299" s="170"/>
      <c r="AF299" s="171"/>
      <c r="AJ299" s="172"/>
      <c r="AK299" s="170"/>
      <c r="AM299" s="168"/>
      <c r="AN299" s="168"/>
      <c r="AV299" s="173"/>
      <c r="AW299" s="174"/>
      <c r="AY299" s="175"/>
      <c r="BB299" s="176"/>
      <c r="BC299" s="176"/>
      <c r="BD299" s="172"/>
      <c r="BE299" s="170"/>
    </row>
    <row r="300" spans="3:57">
      <c r="C300" s="167"/>
      <c r="R300" s="211"/>
      <c r="T300" s="168"/>
      <c r="U300" s="169"/>
      <c r="V300" s="170"/>
      <c r="W300" s="170"/>
      <c r="AF300" s="171"/>
      <c r="AJ300" s="172"/>
      <c r="AK300" s="170"/>
      <c r="AM300" s="168"/>
      <c r="AN300" s="168"/>
      <c r="AV300" s="173"/>
      <c r="AW300" s="174"/>
      <c r="AY300" s="175"/>
      <c r="BB300" s="176"/>
      <c r="BC300" s="176"/>
      <c r="BD300" s="172"/>
      <c r="BE300" s="170"/>
    </row>
    <row r="301" spans="3:57">
      <c r="C301" s="167"/>
      <c r="R301" s="211"/>
      <c r="T301" s="168"/>
      <c r="U301" s="169"/>
      <c r="V301" s="170"/>
      <c r="W301" s="170"/>
      <c r="AF301" s="171"/>
      <c r="AJ301" s="172"/>
      <c r="AK301" s="170"/>
      <c r="AM301" s="168"/>
      <c r="AN301" s="168"/>
      <c r="AV301" s="173"/>
      <c r="AW301" s="174"/>
      <c r="AY301" s="175"/>
      <c r="BB301" s="176"/>
      <c r="BC301" s="176"/>
      <c r="BD301" s="172"/>
      <c r="BE301" s="170"/>
    </row>
    <row r="302" spans="3:57">
      <c r="C302" s="167"/>
      <c r="R302" s="211"/>
      <c r="T302" s="168"/>
      <c r="U302" s="169"/>
      <c r="V302" s="170"/>
      <c r="W302" s="170"/>
      <c r="AF302" s="171"/>
      <c r="AJ302" s="172"/>
      <c r="AK302" s="170"/>
      <c r="AM302" s="168"/>
      <c r="AN302" s="168"/>
      <c r="AV302" s="173"/>
      <c r="AW302" s="174"/>
      <c r="AY302" s="175"/>
      <c r="BB302" s="176"/>
      <c r="BC302" s="176"/>
      <c r="BD302" s="172"/>
      <c r="BE302" s="170"/>
    </row>
    <row r="303" spans="3:57">
      <c r="C303" s="167"/>
      <c r="R303" s="211"/>
      <c r="T303" s="168"/>
      <c r="U303" s="169"/>
      <c r="V303" s="170"/>
      <c r="W303" s="170"/>
      <c r="AF303" s="171"/>
      <c r="AJ303" s="172"/>
      <c r="AK303" s="170"/>
      <c r="AM303" s="168"/>
      <c r="AN303" s="168"/>
      <c r="AV303" s="173"/>
      <c r="AW303" s="174"/>
      <c r="AY303" s="175"/>
      <c r="BB303" s="176"/>
      <c r="BC303" s="176"/>
      <c r="BD303" s="172"/>
      <c r="BE303" s="170"/>
    </row>
    <row r="304" spans="3:57">
      <c r="C304" s="167"/>
      <c r="R304" s="211"/>
      <c r="T304" s="168"/>
      <c r="U304" s="169"/>
      <c r="V304" s="170"/>
      <c r="W304" s="170"/>
      <c r="AF304" s="171"/>
      <c r="AJ304" s="172"/>
      <c r="AK304" s="170"/>
      <c r="AM304" s="168"/>
      <c r="AN304" s="168"/>
      <c r="AV304" s="173"/>
      <c r="AW304" s="174"/>
      <c r="AY304" s="175"/>
      <c r="BB304" s="176"/>
      <c r="BC304" s="176"/>
      <c r="BD304" s="172"/>
      <c r="BE304" s="170"/>
    </row>
    <row r="305" spans="3:57">
      <c r="C305" s="167"/>
      <c r="R305" s="211"/>
      <c r="T305" s="168"/>
      <c r="U305" s="169"/>
      <c r="V305" s="170"/>
      <c r="W305" s="170"/>
      <c r="AF305" s="171"/>
      <c r="AJ305" s="172"/>
      <c r="AK305" s="170"/>
      <c r="AM305" s="168"/>
      <c r="AN305" s="168"/>
      <c r="AV305" s="173"/>
      <c r="AW305" s="174"/>
      <c r="AY305" s="175"/>
      <c r="BB305" s="176"/>
      <c r="BC305" s="176"/>
      <c r="BD305" s="172"/>
      <c r="BE305" s="170"/>
    </row>
    <row r="306" spans="3:57">
      <c r="C306" s="167"/>
      <c r="R306" s="211"/>
      <c r="T306" s="168"/>
      <c r="U306" s="169"/>
      <c r="V306" s="170"/>
      <c r="W306" s="170"/>
      <c r="AF306" s="171"/>
      <c r="AJ306" s="172"/>
      <c r="AK306" s="170"/>
      <c r="AM306" s="168"/>
      <c r="AN306" s="168"/>
      <c r="AV306" s="173"/>
      <c r="AW306" s="174"/>
      <c r="AY306" s="175"/>
      <c r="BB306" s="176"/>
      <c r="BC306" s="176"/>
      <c r="BD306" s="172"/>
      <c r="BE306" s="170"/>
    </row>
    <row r="307" spans="3:57">
      <c r="C307" s="167"/>
      <c r="R307" s="211"/>
      <c r="T307" s="168"/>
      <c r="U307" s="169"/>
      <c r="V307" s="170"/>
      <c r="W307" s="170"/>
      <c r="AF307" s="171"/>
      <c r="AJ307" s="172"/>
      <c r="AK307" s="170"/>
      <c r="AM307" s="168"/>
      <c r="AN307" s="168"/>
      <c r="AV307" s="173"/>
      <c r="AW307" s="174"/>
      <c r="AY307" s="175"/>
      <c r="BB307" s="176"/>
      <c r="BC307" s="176"/>
      <c r="BD307" s="172"/>
      <c r="BE307" s="170"/>
    </row>
    <row r="308" spans="3:57">
      <c r="C308" s="167"/>
      <c r="R308" s="211"/>
      <c r="T308" s="168"/>
      <c r="U308" s="169"/>
      <c r="V308" s="170"/>
      <c r="W308" s="170"/>
      <c r="AF308" s="171"/>
      <c r="AJ308" s="172"/>
      <c r="AK308" s="170"/>
      <c r="AM308" s="168"/>
      <c r="AN308" s="168"/>
      <c r="AV308" s="173"/>
      <c r="AW308" s="174"/>
      <c r="AY308" s="175"/>
      <c r="BB308" s="176"/>
      <c r="BC308" s="176"/>
      <c r="BD308" s="172"/>
      <c r="BE308" s="170"/>
    </row>
    <row r="309" spans="3:57">
      <c r="C309" s="167"/>
      <c r="R309" s="211"/>
      <c r="T309" s="168"/>
      <c r="U309" s="169"/>
      <c r="V309" s="170"/>
      <c r="W309" s="170"/>
      <c r="AF309" s="171"/>
      <c r="AJ309" s="172"/>
      <c r="AK309" s="170"/>
      <c r="AM309" s="168"/>
      <c r="AN309" s="168"/>
      <c r="AV309" s="173"/>
      <c r="AW309" s="174"/>
      <c r="AY309" s="175"/>
      <c r="BB309" s="176"/>
      <c r="BC309" s="176"/>
      <c r="BD309" s="172"/>
      <c r="BE309" s="170"/>
    </row>
    <row r="310" spans="3:57">
      <c r="C310" s="167"/>
      <c r="R310" s="211"/>
      <c r="T310" s="168"/>
      <c r="U310" s="169"/>
      <c r="V310" s="170"/>
      <c r="W310" s="170"/>
      <c r="AF310" s="171"/>
      <c r="AJ310" s="172"/>
      <c r="AK310" s="170"/>
      <c r="AM310" s="168"/>
      <c r="AN310" s="168"/>
      <c r="AV310" s="173"/>
      <c r="AW310" s="174"/>
      <c r="AY310" s="175"/>
      <c r="BB310" s="176"/>
      <c r="BC310" s="176"/>
      <c r="BD310" s="172"/>
      <c r="BE310" s="170"/>
    </row>
    <row r="311" spans="3:57">
      <c r="C311" s="167"/>
      <c r="R311" s="211"/>
      <c r="T311" s="168"/>
      <c r="U311" s="169"/>
      <c r="V311" s="170"/>
      <c r="W311" s="170"/>
      <c r="AF311" s="171"/>
      <c r="AJ311" s="172"/>
      <c r="AK311" s="170"/>
      <c r="AM311" s="168"/>
      <c r="AN311" s="168"/>
      <c r="AV311" s="173"/>
      <c r="AW311" s="174"/>
      <c r="AY311" s="175"/>
      <c r="BB311" s="176"/>
      <c r="BC311" s="176"/>
      <c r="BD311" s="172"/>
      <c r="BE311" s="170"/>
    </row>
    <row r="312" spans="3:57">
      <c r="C312" s="167"/>
      <c r="R312" s="211"/>
      <c r="T312" s="168"/>
      <c r="U312" s="169"/>
      <c r="V312" s="170"/>
      <c r="W312" s="170"/>
      <c r="AF312" s="171"/>
      <c r="AJ312" s="172"/>
      <c r="AK312" s="170"/>
      <c r="AM312" s="168"/>
      <c r="AN312" s="168"/>
      <c r="AV312" s="173"/>
      <c r="AW312" s="174"/>
      <c r="AY312" s="175"/>
      <c r="BB312" s="176"/>
      <c r="BC312" s="176"/>
      <c r="BD312" s="172"/>
      <c r="BE312" s="170"/>
    </row>
    <row r="313" spans="3:57">
      <c r="C313" s="167"/>
      <c r="R313" s="211"/>
      <c r="T313" s="168"/>
      <c r="U313" s="169"/>
      <c r="V313" s="170"/>
      <c r="W313" s="170"/>
      <c r="AF313" s="171"/>
      <c r="AJ313" s="172"/>
      <c r="AK313" s="170"/>
      <c r="AM313" s="168"/>
      <c r="AN313" s="168"/>
      <c r="AV313" s="173"/>
      <c r="AW313" s="174"/>
      <c r="AY313" s="175"/>
      <c r="BB313" s="176"/>
      <c r="BC313" s="176"/>
      <c r="BD313" s="172"/>
      <c r="BE313" s="170"/>
    </row>
    <row r="314" spans="3:57">
      <c r="C314" s="167"/>
      <c r="R314" s="211"/>
      <c r="T314" s="168"/>
      <c r="U314" s="169"/>
      <c r="V314" s="170"/>
      <c r="W314" s="170"/>
      <c r="AF314" s="171"/>
      <c r="AJ314" s="172"/>
      <c r="AK314" s="170"/>
      <c r="AM314" s="168"/>
      <c r="AN314" s="168"/>
      <c r="AV314" s="173"/>
      <c r="AW314" s="174"/>
      <c r="AY314" s="175"/>
      <c r="BB314" s="176"/>
      <c r="BC314" s="176"/>
      <c r="BD314" s="172"/>
      <c r="BE314" s="170"/>
    </row>
    <row r="315" spans="3:57">
      <c r="C315" s="167"/>
      <c r="R315" s="211"/>
      <c r="T315" s="168"/>
      <c r="U315" s="169"/>
      <c r="V315" s="170"/>
      <c r="W315" s="170"/>
      <c r="AF315" s="171"/>
      <c r="AJ315" s="172"/>
      <c r="AK315" s="170"/>
      <c r="AM315" s="168"/>
      <c r="AN315" s="168"/>
      <c r="AV315" s="173"/>
      <c r="AW315" s="174"/>
      <c r="AY315" s="175"/>
      <c r="BB315" s="176"/>
      <c r="BC315" s="176"/>
      <c r="BD315" s="172"/>
      <c r="BE315" s="170"/>
    </row>
    <row r="316" spans="3:57">
      <c r="C316" s="167"/>
      <c r="R316" s="211"/>
      <c r="T316" s="168"/>
      <c r="U316" s="169"/>
      <c r="V316" s="170"/>
      <c r="W316" s="170"/>
      <c r="AF316" s="171"/>
      <c r="AJ316" s="172"/>
      <c r="AK316" s="170"/>
      <c r="AM316" s="168"/>
      <c r="AN316" s="168"/>
      <c r="AV316" s="173"/>
      <c r="AW316" s="174"/>
      <c r="AY316" s="175"/>
      <c r="BB316" s="176"/>
      <c r="BC316" s="176"/>
      <c r="BD316" s="172"/>
      <c r="BE316" s="170"/>
    </row>
    <row r="317" spans="3:57">
      <c r="C317" s="167"/>
      <c r="R317" s="211"/>
      <c r="T317" s="168"/>
      <c r="U317" s="169"/>
      <c r="V317" s="170"/>
      <c r="W317" s="170"/>
      <c r="AF317" s="171"/>
      <c r="AJ317" s="172"/>
      <c r="AK317" s="170"/>
      <c r="AM317" s="168"/>
      <c r="AN317" s="168"/>
      <c r="AV317" s="173"/>
      <c r="AW317" s="174"/>
      <c r="AY317" s="175"/>
      <c r="BB317" s="176"/>
      <c r="BC317" s="176"/>
      <c r="BD317" s="172"/>
      <c r="BE317" s="170"/>
    </row>
    <row r="318" spans="3:57">
      <c r="C318" s="167"/>
      <c r="R318" s="211"/>
      <c r="T318" s="168"/>
      <c r="U318" s="169"/>
      <c r="V318" s="170"/>
      <c r="W318" s="170"/>
      <c r="AF318" s="171"/>
      <c r="AJ318" s="172"/>
      <c r="AK318" s="170"/>
      <c r="AM318" s="168"/>
      <c r="AN318" s="168"/>
      <c r="AV318" s="173"/>
      <c r="AW318" s="174"/>
      <c r="AY318" s="175"/>
      <c r="BB318" s="176"/>
      <c r="BC318" s="176"/>
      <c r="BD318" s="172"/>
      <c r="BE318" s="170"/>
    </row>
    <row r="319" spans="3:57">
      <c r="C319" s="167"/>
      <c r="R319" s="211"/>
      <c r="T319" s="168"/>
      <c r="U319" s="169"/>
      <c r="V319" s="170"/>
      <c r="W319" s="170"/>
      <c r="AF319" s="171"/>
      <c r="AJ319" s="172"/>
      <c r="AK319" s="170"/>
      <c r="AM319" s="168"/>
      <c r="AN319" s="168"/>
      <c r="AV319" s="173"/>
      <c r="AW319" s="174"/>
      <c r="AY319" s="175"/>
      <c r="BB319" s="176"/>
      <c r="BC319" s="176"/>
      <c r="BD319" s="172"/>
      <c r="BE319" s="170"/>
    </row>
    <row r="320" spans="3:57">
      <c r="C320" s="167"/>
      <c r="R320" s="211"/>
      <c r="T320" s="168"/>
      <c r="U320" s="169"/>
      <c r="V320" s="170"/>
      <c r="W320" s="170"/>
      <c r="AF320" s="171"/>
      <c r="AJ320" s="172"/>
      <c r="AK320" s="170"/>
      <c r="AM320" s="168"/>
      <c r="AN320" s="168"/>
      <c r="AV320" s="173"/>
      <c r="AW320" s="174"/>
      <c r="AY320" s="175"/>
      <c r="BB320" s="176"/>
      <c r="BC320" s="176"/>
      <c r="BD320" s="172"/>
      <c r="BE320" s="170"/>
    </row>
    <row r="321" spans="3:57">
      <c r="C321" s="167"/>
      <c r="R321" s="211"/>
      <c r="T321" s="168"/>
      <c r="U321" s="169"/>
      <c r="V321" s="170"/>
      <c r="W321" s="170"/>
      <c r="AF321" s="171"/>
      <c r="AJ321" s="172"/>
      <c r="AK321" s="170"/>
      <c r="AM321" s="168"/>
      <c r="AN321" s="168"/>
      <c r="AV321" s="173"/>
      <c r="AW321" s="174"/>
      <c r="AY321" s="175"/>
      <c r="BB321" s="176"/>
      <c r="BC321" s="176"/>
      <c r="BD321" s="172"/>
      <c r="BE321" s="170"/>
    </row>
    <row r="322" spans="3:57">
      <c r="C322" s="167"/>
      <c r="R322" s="211"/>
      <c r="T322" s="168"/>
      <c r="U322" s="169"/>
      <c r="V322" s="170"/>
      <c r="W322" s="170"/>
      <c r="AF322" s="171"/>
      <c r="AJ322" s="172"/>
      <c r="AK322" s="170"/>
      <c r="AM322" s="168"/>
      <c r="AN322" s="168"/>
      <c r="AV322" s="173"/>
      <c r="AW322" s="174"/>
      <c r="AY322" s="175"/>
      <c r="BB322" s="176"/>
      <c r="BC322" s="176"/>
      <c r="BD322" s="172"/>
      <c r="BE322" s="170"/>
    </row>
    <row r="323" spans="3:57">
      <c r="C323" s="167"/>
      <c r="R323" s="211"/>
      <c r="T323" s="168"/>
      <c r="U323" s="169"/>
      <c r="V323" s="170"/>
      <c r="W323" s="170"/>
      <c r="AF323" s="171"/>
      <c r="AJ323" s="172"/>
      <c r="AK323" s="170"/>
      <c r="AM323" s="168"/>
      <c r="AN323" s="168"/>
      <c r="AV323" s="173"/>
      <c r="AW323" s="174"/>
      <c r="AY323" s="175"/>
      <c r="BB323" s="176"/>
      <c r="BC323" s="176"/>
      <c r="BD323" s="172"/>
      <c r="BE323" s="170"/>
    </row>
    <row r="324" spans="3:57">
      <c r="C324" s="167"/>
      <c r="R324" s="211"/>
      <c r="T324" s="168"/>
      <c r="U324" s="169"/>
      <c r="V324" s="170"/>
      <c r="W324" s="170"/>
      <c r="AF324" s="171"/>
      <c r="AJ324" s="172"/>
      <c r="AK324" s="170"/>
      <c r="AM324" s="168"/>
      <c r="AN324" s="168"/>
      <c r="AV324" s="173"/>
      <c r="AW324" s="174"/>
      <c r="AY324" s="175"/>
      <c r="BB324" s="176"/>
      <c r="BC324" s="176"/>
      <c r="BD324" s="172"/>
      <c r="BE324" s="170"/>
    </row>
    <row r="325" spans="3:57">
      <c r="C325" s="167"/>
      <c r="R325" s="211"/>
      <c r="T325" s="168"/>
      <c r="U325" s="169"/>
      <c r="V325" s="170"/>
      <c r="W325" s="170"/>
      <c r="AF325" s="171"/>
      <c r="AJ325" s="172"/>
      <c r="AK325" s="170"/>
      <c r="AM325" s="168"/>
      <c r="AN325" s="168"/>
      <c r="AV325" s="173"/>
      <c r="AW325" s="174"/>
      <c r="AY325" s="175"/>
      <c r="BB325" s="176"/>
      <c r="BC325" s="176"/>
      <c r="BD325" s="172"/>
      <c r="BE325" s="170"/>
    </row>
    <row r="326" spans="3:57">
      <c r="C326" s="167"/>
      <c r="R326" s="211"/>
      <c r="T326" s="168"/>
      <c r="U326" s="169"/>
      <c r="V326" s="170"/>
      <c r="W326" s="170"/>
      <c r="AF326" s="171"/>
      <c r="AJ326" s="172"/>
      <c r="AK326" s="170"/>
      <c r="AM326" s="168"/>
      <c r="AN326" s="168"/>
      <c r="AV326" s="173"/>
      <c r="AW326" s="174"/>
      <c r="AY326" s="175"/>
      <c r="BB326" s="176"/>
      <c r="BC326" s="176"/>
      <c r="BD326" s="172"/>
      <c r="BE326" s="170"/>
    </row>
    <row r="327" spans="3:57">
      <c r="C327" s="167"/>
      <c r="R327" s="211"/>
      <c r="T327" s="168"/>
      <c r="U327" s="169"/>
      <c r="V327" s="170"/>
      <c r="W327" s="170"/>
      <c r="AF327" s="171"/>
      <c r="AJ327" s="172"/>
      <c r="AK327" s="170"/>
      <c r="AM327" s="168"/>
      <c r="AN327" s="168"/>
      <c r="AV327" s="173"/>
      <c r="AW327" s="174"/>
      <c r="AY327" s="175"/>
      <c r="BB327" s="176"/>
      <c r="BC327" s="176"/>
      <c r="BD327" s="172"/>
      <c r="BE327" s="170"/>
    </row>
    <row r="328" spans="3:57">
      <c r="C328" s="167"/>
      <c r="R328" s="211"/>
      <c r="T328" s="168"/>
      <c r="U328" s="169"/>
      <c r="V328" s="170"/>
      <c r="W328" s="170"/>
      <c r="AF328" s="171"/>
      <c r="AJ328" s="172"/>
      <c r="AK328" s="170"/>
      <c r="AM328" s="168"/>
      <c r="AN328" s="168"/>
      <c r="AV328" s="173"/>
      <c r="AW328" s="174"/>
      <c r="AY328" s="175"/>
      <c r="BB328" s="176"/>
      <c r="BC328" s="176"/>
      <c r="BD328" s="172"/>
      <c r="BE328" s="170"/>
    </row>
    <row r="329" spans="3:57">
      <c r="C329" s="167"/>
      <c r="R329" s="211"/>
      <c r="T329" s="168"/>
      <c r="U329" s="169"/>
      <c r="V329" s="170"/>
      <c r="W329" s="170"/>
      <c r="AF329" s="171"/>
      <c r="AJ329" s="172"/>
      <c r="AK329" s="170"/>
      <c r="AM329" s="168"/>
      <c r="AN329" s="168"/>
      <c r="AV329" s="173"/>
      <c r="AW329" s="174"/>
      <c r="AY329" s="175"/>
      <c r="BB329" s="176"/>
      <c r="BC329" s="176"/>
      <c r="BD329" s="172"/>
      <c r="BE329" s="170"/>
    </row>
    <row r="330" spans="3:57">
      <c r="C330" s="167"/>
      <c r="R330" s="211"/>
      <c r="T330" s="168"/>
      <c r="U330" s="169"/>
      <c r="V330" s="170"/>
      <c r="W330" s="170"/>
      <c r="AF330" s="171"/>
      <c r="AJ330" s="172"/>
      <c r="AK330" s="170"/>
      <c r="AM330" s="168"/>
      <c r="AN330" s="168"/>
      <c r="AV330" s="173"/>
      <c r="AW330" s="174"/>
      <c r="AY330" s="175"/>
      <c r="BB330" s="176"/>
      <c r="BC330" s="176"/>
      <c r="BD330" s="172"/>
      <c r="BE330" s="170"/>
    </row>
    <row r="331" spans="3:57">
      <c r="C331" s="167"/>
      <c r="R331" s="211"/>
      <c r="T331" s="168"/>
      <c r="U331" s="169"/>
      <c r="V331" s="170"/>
      <c r="W331" s="170"/>
      <c r="AF331" s="171"/>
      <c r="AJ331" s="172"/>
      <c r="AK331" s="170"/>
      <c r="AM331" s="168"/>
      <c r="AN331" s="168"/>
      <c r="AV331" s="173"/>
      <c r="AW331" s="174"/>
      <c r="AY331" s="175"/>
      <c r="BB331" s="176"/>
      <c r="BC331" s="176"/>
      <c r="BD331" s="172"/>
      <c r="BE331" s="170"/>
    </row>
    <row r="332" spans="3:57">
      <c r="C332" s="167"/>
      <c r="R332" s="211"/>
      <c r="T332" s="168"/>
      <c r="U332" s="169"/>
      <c r="V332" s="170"/>
      <c r="W332" s="170"/>
      <c r="AF332" s="171"/>
      <c r="AJ332" s="172"/>
      <c r="AK332" s="170"/>
      <c r="AM332" s="168"/>
      <c r="AN332" s="168"/>
      <c r="AV332" s="173"/>
      <c r="AW332" s="174"/>
      <c r="AY332" s="175"/>
      <c r="BB332" s="176"/>
      <c r="BC332" s="176"/>
      <c r="BD332" s="172"/>
      <c r="BE332" s="170"/>
    </row>
    <row r="333" spans="3:57">
      <c r="C333" s="167"/>
      <c r="R333" s="211"/>
      <c r="T333" s="168"/>
      <c r="U333" s="169"/>
      <c r="V333" s="170"/>
      <c r="W333" s="170"/>
      <c r="AF333" s="171"/>
      <c r="AJ333" s="172"/>
      <c r="AK333" s="170"/>
      <c r="AM333" s="168"/>
      <c r="AN333" s="168"/>
      <c r="AV333" s="173"/>
      <c r="AW333" s="174"/>
      <c r="AY333" s="175"/>
      <c r="BB333" s="176"/>
      <c r="BC333" s="176"/>
      <c r="BD333" s="172"/>
      <c r="BE333" s="170"/>
    </row>
    <row r="334" spans="3:57">
      <c r="C334" s="167"/>
      <c r="R334" s="211"/>
      <c r="T334" s="168"/>
      <c r="U334" s="169"/>
      <c r="V334" s="170"/>
      <c r="W334" s="170"/>
      <c r="AF334" s="171"/>
      <c r="AJ334" s="172"/>
      <c r="AK334" s="170"/>
      <c r="AM334" s="168"/>
      <c r="AN334" s="168"/>
      <c r="AV334" s="173"/>
      <c r="AW334" s="174"/>
      <c r="AY334" s="175"/>
      <c r="BB334" s="176"/>
      <c r="BC334" s="176"/>
      <c r="BD334" s="172"/>
      <c r="BE334" s="170"/>
    </row>
    <row r="335" spans="3:57">
      <c r="C335" s="167"/>
      <c r="R335" s="211"/>
      <c r="T335" s="168"/>
      <c r="U335" s="169"/>
      <c r="V335" s="170"/>
      <c r="W335" s="170"/>
      <c r="AF335" s="171"/>
      <c r="AJ335" s="172"/>
      <c r="AK335" s="170"/>
      <c r="AM335" s="168"/>
      <c r="AN335" s="168"/>
      <c r="AV335" s="173"/>
      <c r="AW335" s="174"/>
      <c r="AY335" s="175"/>
      <c r="BB335" s="176"/>
      <c r="BC335" s="176"/>
      <c r="BD335" s="172"/>
      <c r="BE335" s="170"/>
    </row>
    <row r="336" spans="3:57">
      <c r="C336" s="167"/>
      <c r="R336" s="211"/>
      <c r="T336" s="168"/>
      <c r="U336" s="169"/>
      <c r="V336" s="170"/>
      <c r="W336" s="170"/>
      <c r="AF336" s="171"/>
      <c r="AJ336" s="172"/>
      <c r="AK336" s="170"/>
      <c r="AM336" s="168"/>
      <c r="AN336" s="168"/>
      <c r="AV336" s="173"/>
      <c r="AW336" s="174"/>
      <c r="AY336" s="175"/>
      <c r="BB336" s="176"/>
      <c r="BC336" s="176"/>
      <c r="BD336" s="172"/>
      <c r="BE336" s="170"/>
    </row>
    <row r="337" spans="3:57">
      <c r="C337" s="167"/>
      <c r="R337" s="211"/>
      <c r="T337" s="168"/>
      <c r="U337" s="169"/>
      <c r="V337" s="170"/>
      <c r="W337" s="170"/>
      <c r="AF337" s="171"/>
      <c r="AJ337" s="172"/>
      <c r="AK337" s="170"/>
      <c r="AM337" s="168"/>
      <c r="AN337" s="168"/>
      <c r="AV337" s="173"/>
      <c r="AW337" s="174"/>
      <c r="AY337" s="175"/>
      <c r="BB337" s="176"/>
      <c r="BC337" s="176"/>
      <c r="BD337" s="172"/>
      <c r="BE337" s="170"/>
    </row>
    <row r="338" spans="3:57">
      <c r="C338" s="167"/>
      <c r="R338" s="211"/>
      <c r="T338" s="168"/>
      <c r="U338" s="169"/>
      <c r="V338" s="170"/>
      <c r="W338" s="170"/>
      <c r="AF338" s="171"/>
      <c r="AJ338" s="172"/>
      <c r="AK338" s="170"/>
      <c r="AM338" s="168"/>
      <c r="AN338" s="168"/>
      <c r="AV338" s="173"/>
      <c r="AW338" s="174"/>
      <c r="AY338" s="175"/>
      <c r="BB338" s="176"/>
      <c r="BC338" s="176"/>
      <c r="BD338" s="172"/>
      <c r="BE338" s="170"/>
    </row>
    <row r="339" spans="3:57">
      <c r="C339" s="167"/>
      <c r="R339" s="211"/>
      <c r="T339" s="168"/>
      <c r="U339" s="169"/>
      <c r="V339" s="170"/>
      <c r="W339" s="170"/>
      <c r="AF339" s="171"/>
      <c r="AJ339" s="172"/>
      <c r="AK339" s="170"/>
      <c r="AM339" s="168"/>
      <c r="AN339" s="168"/>
      <c r="AV339" s="173"/>
      <c r="AW339" s="174"/>
      <c r="AY339" s="175"/>
      <c r="BB339" s="176"/>
      <c r="BC339" s="176"/>
      <c r="BD339" s="172"/>
      <c r="BE339" s="170"/>
    </row>
    <row r="340" spans="3:57">
      <c r="C340" s="167"/>
      <c r="R340" s="211"/>
      <c r="T340" s="168"/>
      <c r="U340" s="169"/>
      <c r="V340" s="170"/>
      <c r="W340" s="170"/>
      <c r="AF340" s="171"/>
      <c r="AJ340" s="172"/>
      <c r="AK340" s="170"/>
      <c r="AM340" s="168"/>
      <c r="AN340" s="168"/>
      <c r="AV340" s="173"/>
      <c r="AW340" s="174"/>
      <c r="AY340" s="175"/>
      <c r="BB340" s="176"/>
      <c r="BC340" s="176"/>
      <c r="BD340" s="172"/>
      <c r="BE340" s="170"/>
    </row>
    <row r="341" spans="3:57">
      <c r="C341" s="167"/>
      <c r="R341" s="211"/>
      <c r="T341" s="168"/>
      <c r="U341" s="169"/>
      <c r="V341" s="170"/>
      <c r="W341" s="170"/>
      <c r="AF341" s="171"/>
      <c r="AJ341" s="172"/>
      <c r="AK341" s="170"/>
      <c r="AM341" s="168"/>
      <c r="AN341" s="168"/>
      <c r="AV341" s="173"/>
      <c r="AW341" s="174"/>
      <c r="AY341" s="175"/>
      <c r="BB341" s="176"/>
      <c r="BC341" s="176"/>
      <c r="BD341" s="172"/>
      <c r="BE341" s="170"/>
    </row>
    <row r="342" spans="3:57">
      <c r="C342" s="167"/>
      <c r="R342" s="211"/>
      <c r="T342" s="168"/>
      <c r="U342" s="169"/>
      <c r="V342" s="170"/>
      <c r="W342" s="170"/>
      <c r="AF342" s="171"/>
      <c r="AJ342" s="172"/>
      <c r="AK342" s="170"/>
      <c r="AM342" s="168"/>
      <c r="AN342" s="168"/>
      <c r="AV342" s="173"/>
      <c r="AW342" s="174"/>
      <c r="AY342" s="175"/>
      <c r="BB342" s="176"/>
      <c r="BC342" s="176"/>
      <c r="BD342" s="172"/>
      <c r="BE342" s="170"/>
    </row>
    <row r="343" spans="3:57">
      <c r="C343" s="167"/>
      <c r="R343" s="211"/>
      <c r="T343" s="168"/>
      <c r="U343" s="169"/>
      <c r="V343" s="170"/>
      <c r="W343" s="170"/>
      <c r="AF343" s="171"/>
      <c r="AJ343" s="172"/>
      <c r="AK343" s="170"/>
      <c r="AM343" s="168"/>
      <c r="AN343" s="168"/>
      <c r="AV343" s="173"/>
      <c r="AW343" s="174"/>
      <c r="AY343" s="175"/>
      <c r="BB343" s="176"/>
      <c r="BC343" s="176"/>
      <c r="BD343" s="172"/>
      <c r="BE343" s="170"/>
    </row>
    <row r="344" spans="3:57">
      <c r="C344" s="167"/>
      <c r="R344" s="211"/>
      <c r="T344" s="168"/>
      <c r="U344" s="169"/>
      <c r="V344" s="170"/>
      <c r="W344" s="170"/>
      <c r="AF344" s="171"/>
      <c r="AJ344" s="172"/>
      <c r="AK344" s="170"/>
      <c r="AM344" s="168"/>
      <c r="AN344" s="168"/>
      <c r="AV344" s="173"/>
      <c r="AW344" s="174"/>
      <c r="AY344" s="175"/>
      <c r="BB344" s="176"/>
      <c r="BC344" s="176"/>
      <c r="BD344" s="172"/>
      <c r="BE344" s="170"/>
    </row>
    <row r="345" spans="3:57">
      <c r="C345" s="167"/>
      <c r="R345" s="211"/>
      <c r="T345" s="168"/>
      <c r="U345" s="169"/>
      <c r="V345" s="170"/>
      <c r="W345" s="170"/>
      <c r="AF345" s="171"/>
      <c r="AJ345" s="172"/>
      <c r="AK345" s="170"/>
      <c r="AM345" s="168"/>
      <c r="AN345" s="168"/>
      <c r="AV345" s="173"/>
      <c r="AW345" s="174"/>
      <c r="AY345" s="175"/>
      <c r="BB345" s="176"/>
      <c r="BC345" s="176"/>
      <c r="BD345" s="172"/>
      <c r="BE345" s="170"/>
    </row>
    <row r="346" spans="3:57">
      <c r="C346" s="167"/>
      <c r="R346" s="211"/>
      <c r="T346" s="168"/>
      <c r="U346" s="169"/>
      <c r="V346" s="170"/>
      <c r="W346" s="170"/>
      <c r="AF346" s="171"/>
      <c r="AJ346" s="172"/>
      <c r="AK346" s="170"/>
      <c r="AM346" s="168"/>
      <c r="AN346" s="168"/>
      <c r="AV346" s="173"/>
      <c r="AW346" s="174"/>
      <c r="AY346" s="175"/>
      <c r="BB346" s="176"/>
      <c r="BC346" s="176"/>
      <c r="BD346" s="172"/>
      <c r="BE346" s="170"/>
    </row>
    <row r="347" spans="3:57">
      <c r="C347" s="167"/>
      <c r="R347" s="211"/>
      <c r="T347" s="168"/>
      <c r="U347" s="169"/>
      <c r="V347" s="170"/>
      <c r="W347" s="170"/>
      <c r="AF347" s="171"/>
      <c r="AJ347" s="172"/>
      <c r="AK347" s="170"/>
      <c r="AM347" s="168"/>
      <c r="AN347" s="168"/>
      <c r="AV347" s="173"/>
      <c r="AW347" s="174"/>
      <c r="AY347" s="175"/>
      <c r="BB347" s="176"/>
      <c r="BC347" s="176"/>
      <c r="BD347" s="172"/>
      <c r="BE347" s="170"/>
    </row>
    <row r="348" spans="3:57">
      <c r="C348" s="167"/>
      <c r="R348" s="211"/>
      <c r="T348" s="168"/>
      <c r="U348" s="169"/>
      <c r="V348" s="170"/>
      <c r="W348" s="170"/>
      <c r="AF348" s="171"/>
      <c r="AJ348" s="172"/>
      <c r="AK348" s="170"/>
      <c r="AM348" s="168"/>
      <c r="AN348" s="168"/>
      <c r="AV348" s="173"/>
      <c r="AW348" s="174"/>
      <c r="AY348" s="175"/>
      <c r="BB348" s="176"/>
      <c r="BC348" s="176"/>
      <c r="BD348" s="172"/>
      <c r="BE348" s="170"/>
    </row>
    <row r="349" spans="3:57">
      <c r="C349" s="167"/>
      <c r="R349" s="211"/>
      <c r="T349" s="168"/>
      <c r="U349" s="169"/>
      <c r="V349" s="170"/>
      <c r="W349" s="170"/>
      <c r="AF349" s="171"/>
      <c r="AJ349" s="172"/>
      <c r="AK349" s="170"/>
      <c r="AM349" s="168"/>
      <c r="AN349" s="168"/>
      <c r="AV349" s="173"/>
      <c r="AW349" s="174"/>
      <c r="AY349" s="175"/>
      <c r="BB349" s="176"/>
      <c r="BC349" s="176"/>
      <c r="BD349" s="172"/>
      <c r="BE349" s="170"/>
    </row>
    <row r="350" spans="3:57">
      <c r="C350" s="167"/>
      <c r="R350" s="211"/>
      <c r="T350" s="168"/>
      <c r="U350" s="169"/>
      <c r="V350" s="170"/>
      <c r="W350" s="170"/>
      <c r="AF350" s="171"/>
      <c r="AJ350" s="172"/>
      <c r="AK350" s="170"/>
      <c r="AM350" s="168"/>
      <c r="AN350" s="168"/>
      <c r="AV350" s="173"/>
      <c r="AW350" s="174"/>
      <c r="AY350" s="175"/>
      <c r="BB350" s="176"/>
      <c r="BC350" s="176"/>
      <c r="BD350" s="172"/>
      <c r="BE350" s="170"/>
    </row>
    <row r="351" spans="3:57">
      <c r="C351" s="167"/>
      <c r="R351" s="211"/>
      <c r="T351" s="168"/>
      <c r="U351" s="169"/>
      <c r="V351" s="170"/>
      <c r="W351" s="170"/>
      <c r="AF351" s="171"/>
      <c r="AJ351" s="172"/>
      <c r="AK351" s="170"/>
      <c r="AM351" s="168"/>
      <c r="AN351" s="168"/>
      <c r="AV351" s="173"/>
      <c r="AW351" s="174"/>
      <c r="AY351" s="175"/>
      <c r="BB351" s="176"/>
      <c r="BC351" s="176"/>
      <c r="BD351" s="172"/>
      <c r="BE351" s="170"/>
    </row>
    <row r="352" spans="3:57">
      <c r="C352" s="167"/>
      <c r="R352" s="211"/>
      <c r="T352" s="168"/>
      <c r="U352" s="169"/>
      <c r="V352" s="170"/>
      <c r="W352" s="170"/>
      <c r="AF352" s="171"/>
      <c r="AJ352" s="172"/>
      <c r="AK352" s="170"/>
      <c r="AM352" s="168"/>
      <c r="AN352" s="168"/>
      <c r="AV352" s="173"/>
      <c r="AW352" s="174"/>
      <c r="AY352" s="175"/>
      <c r="BB352" s="176"/>
      <c r="BC352" s="176"/>
      <c r="BD352" s="172"/>
      <c r="BE352" s="170"/>
    </row>
    <row r="353" spans="3:57">
      <c r="C353" s="167"/>
      <c r="R353" s="211"/>
      <c r="T353" s="168"/>
      <c r="U353" s="169"/>
      <c r="V353" s="170"/>
      <c r="W353" s="170"/>
      <c r="AF353" s="171"/>
      <c r="AJ353" s="172"/>
      <c r="AK353" s="170"/>
      <c r="AM353" s="168"/>
      <c r="AN353" s="168"/>
      <c r="AV353" s="173"/>
      <c r="AW353" s="174"/>
      <c r="AY353" s="175"/>
      <c r="BB353" s="176"/>
      <c r="BC353" s="176"/>
      <c r="BD353" s="172"/>
      <c r="BE353" s="170"/>
    </row>
    <row r="354" spans="3:57">
      <c r="C354" s="167"/>
      <c r="R354" s="211"/>
      <c r="T354" s="168"/>
      <c r="U354" s="169"/>
      <c r="V354" s="170"/>
      <c r="W354" s="170"/>
      <c r="AF354" s="171"/>
      <c r="AJ354" s="172"/>
      <c r="AK354" s="170"/>
      <c r="AM354" s="168"/>
      <c r="AN354" s="168"/>
      <c r="AV354" s="173"/>
      <c r="AW354" s="174"/>
      <c r="AY354" s="175"/>
      <c r="BB354" s="176"/>
      <c r="BC354" s="176"/>
      <c r="BD354" s="172"/>
      <c r="BE354" s="170"/>
    </row>
    <row r="355" spans="3:57">
      <c r="C355" s="167"/>
      <c r="R355" s="211"/>
      <c r="T355" s="168"/>
      <c r="U355" s="169"/>
      <c r="V355" s="170"/>
      <c r="W355" s="170"/>
      <c r="AF355" s="171"/>
      <c r="AJ355" s="172"/>
      <c r="AK355" s="170"/>
      <c r="AM355" s="168"/>
      <c r="AN355" s="168"/>
      <c r="AV355" s="173"/>
      <c r="AW355" s="174"/>
      <c r="AY355" s="175"/>
      <c r="BB355" s="176"/>
      <c r="BC355" s="176"/>
      <c r="BD355" s="172"/>
      <c r="BE355" s="170"/>
    </row>
    <row r="356" spans="3:57">
      <c r="C356" s="167"/>
      <c r="R356" s="211"/>
      <c r="T356" s="168"/>
      <c r="U356" s="169"/>
      <c r="V356" s="170"/>
      <c r="W356" s="170"/>
      <c r="AF356" s="171"/>
      <c r="AJ356" s="172"/>
      <c r="AK356" s="170"/>
      <c r="AM356" s="168"/>
      <c r="AN356" s="168"/>
      <c r="AV356" s="173"/>
      <c r="AW356" s="174"/>
      <c r="AY356" s="175"/>
      <c r="BB356" s="176"/>
      <c r="BC356" s="176"/>
      <c r="BD356" s="172"/>
      <c r="BE356" s="170"/>
    </row>
    <row r="357" spans="3:57">
      <c r="C357" s="167"/>
      <c r="R357" s="211"/>
      <c r="T357" s="168"/>
      <c r="U357" s="169"/>
      <c r="V357" s="170"/>
      <c r="W357" s="170"/>
      <c r="AF357" s="171"/>
      <c r="AJ357" s="172"/>
      <c r="AK357" s="170"/>
      <c r="AM357" s="168"/>
      <c r="AN357" s="168"/>
      <c r="AV357" s="173"/>
      <c r="AW357" s="174"/>
      <c r="AY357" s="175"/>
      <c r="BB357" s="176"/>
      <c r="BC357" s="176"/>
      <c r="BD357" s="172"/>
      <c r="BE357" s="170"/>
    </row>
    <row r="358" spans="3:57">
      <c r="C358" s="167"/>
      <c r="R358" s="211"/>
      <c r="T358" s="168"/>
      <c r="U358" s="169"/>
      <c r="V358" s="170"/>
      <c r="W358" s="170"/>
      <c r="AF358" s="171"/>
      <c r="AJ358" s="172"/>
      <c r="AK358" s="170"/>
      <c r="AM358" s="168"/>
      <c r="AN358" s="168"/>
      <c r="AV358" s="173"/>
      <c r="AW358" s="174"/>
      <c r="AY358" s="175"/>
      <c r="BB358" s="176"/>
      <c r="BC358" s="176"/>
      <c r="BD358" s="172"/>
      <c r="BE358" s="170"/>
    </row>
    <row r="359" spans="3:57">
      <c r="C359" s="167"/>
      <c r="R359" s="211"/>
      <c r="T359" s="168"/>
      <c r="U359" s="169"/>
      <c r="V359" s="170"/>
      <c r="W359" s="170"/>
      <c r="AF359" s="171"/>
      <c r="AJ359" s="172"/>
      <c r="AK359" s="170"/>
      <c r="AM359" s="168"/>
      <c r="AN359" s="168"/>
      <c r="AV359" s="173"/>
      <c r="AW359" s="174"/>
      <c r="AY359" s="175"/>
      <c r="BB359" s="176"/>
      <c r="BC359" s="176"/>
      <c r="BD359" s="172"/>
      <c r="BE359" s="170"/>
    </row>
    <row r="360" spans="3:57">
      <c r="C360" s="167"/>
      <c r="R360" s="211"/>
      <c r="T360" s="168"/>
      <c r="U360" s="169"/>
      <c r="V360" s="170"/>
      <c r="W360" s="170"/>
      <c r="AF360" s="171"/>
      <c r="AJ360" s="172"/>
      <c r="AK360" s="170"/>
      <c r="AM360" s="168"/>
      <c r="AN360" s="168"/>
      <c r="AV360" s="173"/>
      <c r="AW360" s="174"/>
      <c r="AY360" s="175"/>
      <c r="BB360" s="176"/>
      <c r="BC360" s="176"/>
      <c r="BD360" s="172"/>
      <c r="BE360" s="170"/>
    </row>
    <row r="361" spans="3:57">
      <c r="C361" s="167"/>
      <c r="R361" s="211"/>
      <c r="T361" s="168"/>
      <c r="U361" s="169"/>
      <c r="V361" s="170"/>
      <c r="W361" s="170"/>
      <c r="AF361" s="171"/>
      <c r="AJ361" s="172"/>
      <c r="AK361" s="170"/>
      <c r="AM361" s="168"/>
      <c r="AN361" s="168"/>
      <c r="AV361" s="173"/>
      <c r="AW361" s="174"/>
      <c r="AY361" s="175"/>
      <c r="BB361" s="176"/>
      <c r="BC361" s="176"/>
      <c r="BD361" s="172"/>
      <c r="BE361" s="170"/>
    </row>
    <row r="362" spans="3:57">
      <c r="C362" s="167"/>
      <c r="R362" s="211"/>
      <c r="T362" s="168"/>
      <c r="U362" s="169"/>
      <c r="V362" s="170"/>
      <c r="W362" s="170"/>
      <c r="AF362" s="171"/>
      <c r="AJ362" s="172"/>
      <c r="AK362" s="170"/>
      <c r="AM362" s="168"/>
      <c r="AN362" s="168"/>
      <c r="AV362" s="173"/>
      <c r="AW362" s="174"/>
      <c r="AY362" s="175"/>
      <c r="BB362" s="176"/>
      <c r="BC362" s="176"/>
      <c r="BD362" s="172"/>
      <c r="BE362" s="170"/>
    </row>
    <row r="363" spans="3:57">
      <c r="C363" s="167"/>
      <c r="R363" s="211"/>
      <c r="T363" s="168"/>
      <c r="U363" s="169"/>
      <c r="V363" s="170"/>
      <c r="W363" s="170"/>
      <c r="AF363" s="171"/>
      <c r="AJ363" s="172"/>
      <c r="AK363" s="170"/>
      <c r="AM363" s="168"/>
      <c r="AN363" s="168"/>
      <c r="AV363" s="173"/>
      <c r="AW363" s="174"/>
      <c r="AY363" s="175"/>
      <c r="BB363" s="176"/>
      <c r="BC363" s="176"/>
      <c r="BD363" s="172"/>
      <c r="BE363" s="170"/>
    </row>
    <row r="364" spans="3:57">
      <c r="C364" s="167"/>
      <c r="R364" s="211"/>
      <c r="T364" s="168"/>
      <c r="U364" s="169"/>
      <c r="V364" s="170"/>
      <c r="W364" s="170"/>
      <c r="AF364" s="171"/>
      <c r="AJ364" s="172"/>
      <c r="AK364" s="170"/>
      <c r="AM364" s="168"/>
      <c r="AN364" s="168"/>
      <c r="AV364" s="173"/>
      <c r="AW364" s="174"/>
      <c r="AY364" s="175"/>
      <c r="BB364" s="176"/>
      <c r="BC364" s="176"/>
      <c r="BD364" s="172"/>
      <c r="BE364" s="170"/>
    </row>
    <row r="365" spans="3:57">
      <c r="C365" s="167"/>
      <c r="R365" s="211"/>
      <c r="T365" s="168"/>
      <c r="U365" s="169"/>
      <c r="V365" s="170"/>
      <c r="W365" s="170"/>
      <c r="AF365" s="171"/>
      <c r="AJ365" s="172"/>
      <c r="AK365" s="170"/>
      <c r="AM365" s="168"/>
      <c r="AN365" s="168"/>
      <c r="AV365" s="173"/>
      <c r="AW365" s="174"/>
      <c r="AY365" s="175"/>
      <c r="BB365" s="176"/>
      <c r="BC365" s="176"/>
      <c r="BD365" s="172"/>
      <c r="BE365" s="170"/>
    </row>
    <row r="366" spans="3:57">
      <c r="C366" s="167"/>
      <c r="R366" s="211"/>
      <c r="T366" s="168"/>
      <c r="U366" s="169"/>
      <c r="V366" s="170"/>
      <c r="W366" s="170"/>
      <c r="AF366" s="171"/>
      <c r="AJ366" s="172"/>
      <c r="AK366" s="170"/>
      <c r="AM366" s="168"/>
      <c r="AN366" s="168"/>
      <c r="AV366" s="173"/>
      <c r="AW366" s="174"/>
      <c r="AY366" s="175"/>
      <c r="BB366" s="176"/>
      <c r="BC366" s="176"/>
      <c r="BD366" s="172"/>
      <c r="BE366" s="170"/>
    </row>
    <row r="367" spans="3:57">
      <c r="C367" s="167"/>
      <c r="R367" s="211"/>
      <c r="T367" s="168"/>
      <c r="U367" s="169"/>
      <c r="V367" s="170"/>
      <c r="W367" s="170"/>
      <c r="AF367" s="171"/>
      <c r="AJ367" s="172"/>
      <c r="AK367" s="170"/>
      <c r="AM367" s="168"/>
      <c r="AN367" s="168"/>
      <c r="AV367" s="173"/>
      <c r="AW367" s="174"/>
      <c r="AY367" s="175"/>
      <c r="BB367" s="176"/>
      <c r="BC367" s="176"/>
      <c r="BD367" s="172"/>
      <c r="BE367" s="170"/>
    </row>
    <row r="368" spans="3:57">
      <c r="C368" s="167"/>
      <c r="R368" s="211"/>
      <c r="T368" s="168"/>
      <c r="U368" s="169"/>
      <c r="V368" s="170"/>
      <c r="W368" s="170"/>
      <c r="AF368" s="171"/>
      <c r="AJ368" s="172"/>
      <c r="AK368" s="170"/>
      <c r="AM368" s="168"/>
      <c r="AN368" s="168"/>
      <c r="AV368" s="173"/>
      <c r="AW368" s="174"/>
      <c r="AY368" s="175"/>
      <c r="BB368" s="176"/>
      <c r="BC368" s="176"/>
      <c r="BD368" s="172"/>
      <c r="BE368" s="170"/>
    </row>
    <row r="369" spans="3:57">
      <c r="C369" s="167"/>
      <c r="R369" s="211"/>
      <c r="T369" s="168"/>
      <c r="U369" s="169"/>
      <c r="V369" s="170"/>
      <c r="W369" s="170"/>
      <c r="AF369" s="171"/>
      <c r="AJ369" s="172"/>
      <c r="AK369" s="170"/>
      <c r="AM369" s="168"/>
      <c r="AN369" s="168"/>
      <c r="AV369" s="173"/>
      <c r="AW369" s="174"/>
      <c r="AY369" s="175"/>
      <c r="BB369" s="176"/>
      <c r="BC369" s="176"/>
      <c r="BD369" s="172"/>
      <c r="BE369" s="170"/>
    </row>
    <row r="370" spans="3:57">
      <c r="C370" s="167"/>
      <c r="R370" s="211"/>
      <c r="T370" s="168"/>
      <c r="U370" s="169"/>
      <c r="V370" s="170"/>
      <c r="W370" s="170"/>
      <c r="AF370" s="171"/>
      <c r="AJ370" s="172"/>
      <c r="AK370" s="170"/>
      <c r="AM370" s="168"/>
      <c r="AN370" s="168"/>
      <c r="AV370" s="173"/>
      <c r="AW370" s="174"/>
      <c r="AY370" s="175"/>
      <c r="BB370" s="176"/>
      <c r="BC370" s="176"/>
      <c r="BD370" s="172"/>
      <c r="BE370" s="170"/>
    </row>
    <row r="371" spans="3:57">
      <c r="C371" s="167"/>
      <c r="R371" s="211"/>
      <c r="T371" s="168"/>
      <c r="U371" s="169"/>
      <c r="V371" s="170"/>
      <c r="W371" s="170"/>
      <c r="AF371" s="171"/>
      <c r="AJ371" s="172"/>
      <c r="AK371" s="170"/>
      <c r="AM371" s="168"/>
      <c r="AN371" s="168"/>
      <c r="AV371" s="173"/>
      <c r="AW371" s="174"/>
      <c r="AY371" s="175"/>
      <c r="BB371" s="176"/>
      <c r="BC371" s="176"/>
      <c r="BD371" s="172"/>
      <c r="BE371" s="170"/>
    </row>
    <row r="372" spans="3:57">
      <c r="C372" s="167"/>
      <c r="R372" s="211"/>
      <c r="T372" s="168"/>
      <c r="U372" s="169"/>
      <c r="V372" s="170"/>
      <c r="W372" s="170"/>
      <c r="AF372" s="171"/>
      <c r="AJ372" s="172"/>
      <c r="AK372" s="170"/>
      <c r="AM372" s="168"/>
      <c r="AN372" s="168"/>
      <c r="AV372" s="173"/>
      <c r="AW372" s="174"/>
      <c r="AY372" s="175"/>
      <c r="BB372" s="176"/>
      <c r="BC372" s="176"/>
      <c r="BD372" s="172"/>
      <c r="BE372" s="170"/>
    </row>
    <row r="373" spans="3:57">
      <c r="C373" s="167"/>
      <c r="R373" s="211"/>
      <c r="T373" s="168"/>
      <c r="U373" s="169"/>
      <c r="V373" s="170"/>
      <c r="W373" s="170"/>
      <c r="AF373" s="171"/>
      <c r="AJ373" s="172"/>
      <c r="AK373" s="170"/>
      <c r="AM373" s="168"/>
      <c r="AN373" s="168"/>
      <c r="AV373" s="173"/>
      <c r="AW373" s="174"/>
      <c r="AY373" s="175"/>
      <c r="BB373" s="176"/>
      <c r="BC373" s="176"/>
      <c r="BD373" s="172"/>
      <c r="BE373" s="170"/>
    </row>
    <row r="374" spans="3:57">
      <c r="C374" s="167"/>
      <c r="R374" s="211"/>
      <c r="T374" s="168"/>
      <c r="U374" s="169"/>
      <c r="V374" s="170"/>
      <c r="W374" s="170"/>
      <c r="AF374" s="171"/>
      <c r="AJ374" s="172"/>
      <c r="AK374" s="170"/>
      <c r="AM374" s="168"/>
      <c r="AN374" s="168"/>
      <c r="AV374" s="173"/>
      <c r="AW374" s="174"/>
      <c r="AY374" s="175"/>
      <c r="BB374" s="176"/>
      <c r="BC374" s="176"/>
      <c r="BD374" s="172"/>
      <c r="BE374" s="170"/>
    </row>
    <row r="375" spans="3:57">
      <c r="C375" s="167"/>
      <c r="R375" s="211"/>
      <c r="T375" s="168"/>
      <c r="U375" s="169"/>
      <c r="V375" s="170"/>
      <c r="W375" s="170"/>
      <c r="AF375" s="171"/>
      <c r="AJ375" s="172"/>
      <c r="AK375" s="170"/>
      <c r="AM375" s="168"/>
      <c r="AN375" s="168"/>
      <c r="AV375" s="173"/>
      <c r="AW375" s="174"/>
      <c r="AY375" s="175"/>
      <c r="BB375" s="176"/>
      <c r="BC375" s="176"/>
      <c r="BD375" s="172"/>
      <c r="BE375" s="170"/>
    </row>
    <row r="376" spans="3:57">
      <c r="C376" s="167"/>
      <c r="R376" s="211"/>
      <c r="T376" s="168"/>
      <c r="U376" s="169"/>
      <c r="V376" s="170"/>
      <c r="W376" s="170"/>
      <c r="AF376" s="171"/>
      <c r="AJ376" s="172"/>
      <c r="AK376" s="170"/>
      <c r="AM376" s="168"/>
      <c r="AN376" s="168"/>
      <c r="AV376" s="173"/>
      <c r="AW376" s="174"/>
      <c r="AY376" s="175"/>
      <c r="BB376" s="176"/>
      <c r="BC376" s="176"/>
      <c r="BD376" s="172"/>
      <c r="BE376" s="170"/>
    </row>
    <row r="377" spans="3:57">
      <c r="C377" s="167"/>
      <c r="R377" s="211"/>
      <c r="T377" s="168"/>
      <c r="U377" s="169"/>
      <c r="V377" s="170"/>
      <c r="W377" s="170"/>
      <c r="AF377" s="171"/>
      <c r="AJ377" s="172"/>
      <c r="AK377" s="170"/>
      <c r="AM377" s="168"/>
      <c r="AN377" s="168"/>
      <c r="AV377" s="173"/>
      <c r="AW377" s="174"/>
      <c r="AY377" s="175"/>
      <c r="BB377" s="176"/>
      <c r="BC377" s="176"/>
      <c r="BD377" s="172"/>
      <c r="BE377" s="170"/>
    </row>
    <row r="378" spans="3:57">
      <c r="C378" s="167"/>
      <c r="R378" s="211"/>
      <c r="T378" s="168"/>
      <c r="U378" s="169"/>
      <c r="V378" s="170"/>
      <c r="W378" s="170"/>
      <c r="AF378" s="171"/>
      <c r="AJ378" s="172"/>
      <c r="AK378" s="170"/>
      <c r="AM378" s="168"/>
      <c r="AN378" s="168"/>
      <c r="AV378" s="173"/>
      <c r="AW378" s="174"/>
      <c r="AY378" s="175"/>
      <c r="BB378" s="176"/>
      <c r="BC378" s="176"/>
      <c r="BD378" s="172"/>
      <c r="BE378" s="170"/>
    </row>
    <row r="379" spans="3:57">
      <c r="C379" s="167"/>
      <c r="R379" s="211"/>
      <c r="T379" s="168"/>
      <c r="U379" s="169"/>
      <c r="V379" s="170"/>
      <c r="W379" s="170"/>
      <c r="AF379" s="171"/>
      <c r="AJ379" s="172"/>
      <c r="AK379" s="170"/>
      <c r="AM379" s="168"/>
      <c r="AN379" s="168"/>
      <c r="AV379" s="173"/>
      <c r="AW379" s="174"/>
      <c r="AY379" s="175"/>
      <c r="BB379" s="176"/>
      <c r="BC379" s="176"/>
      <c r="BD379" s="172"/>
      <c r="BE379" s="170"/>
    </row>
    <row r="380" spans="3:57">
      <c r="C380" s="167"/>
      <c r="R380" s="211"/>
      <c r="T380" s="168"/>
      <c r="U380" s="169"/>
      <c r="V380" s="170"/>
      <c r="W380" s="170"/>
      <c r="AF380" s="171"/>
      <c r="AJ380" s="172"/>
      <c r="AK380" s="170"/>
      <c r="AM380" s="168"/>
      <c r="AN380" s="168"/>
      <c r="AV380" s="173"/>
      <c r="AW380" s="174"/>
      <c r="AY380" s="175"/>
      <c r="BB380" s="176"/>
      <c r="BC380" s="176"/>
      <c r="BD380" s="172"/>
      <c r="BE380" s="170"/>
    </row>
    <row r="381" spans="3:57">
      <c r="C381" s="167"/>
      <c r="R381" s="211"/>
      <c r="T381" s="168"/>
      <c r="U381" s="169"/>
      <c r="V381" s="170"/>
      <c r="W381" s="170"/>
      <c r="AF381" s="171"/>
      <c r="AJ381" s="172"/>
      <c r="AK381" s="170"/>
      <c r="AM381" s="168"/>
      <c r="AN381" s="168"/>
      <c r="AV381" s="173"/>
      <c r="AW381" s="174"/>
      <c r="AY381" s="175"/>
      <c r="BB381" s="176"/>
      <c r="BC381" s="176"/>
      <c r="BD381" s="172"/>
      <c r="BE381" s="170"/>
    </row>
    <row r="382" spans="3:57">
      <c r="C382" s="167"/>
      <c r="R382" s="211"/>
      <c r="T382" s="168"/>
      <c r="U382" s="169"/>
      <c r="V382" s="170"/>
      <c r="W382" s="170"/>
      <c r="AF382" s="171"/>
      <c r="AJ382" s="172"/>
      <c r="AK382" s="170"/>
      <c r="AM382" s="168"/>
      <c r="AN382" s="168"/>
      <c r="AV382" s="173"/>
      <c r="AW382" s="174"/>
      <c r="AY382" s="175"/>
      <c r="BB382" s="176"/>
      <c r="BC382" s="176"/>
      <c r="BD382" s="172"/>
      <c r="BE382" s="170"/>
    </row>
    <row r="383" spans="3:57">
      <c r="C383" s="167"/>
      <c r="R383" s="211"/>
      <c r="T383" s="168"/>
      <c r="U383" s="169"/>
      <c r="V383" s="170"/>
      <c r="W383" s="170"/>
      <c r="AF383" s="171"/>
      <c r="AJ383" s="172"/>
      <c r="AK383" s="170"/>
      <c r="AM383" s="168"/>
      <c r="AN383" s="168"/>
      <c r="AV383" s="173"/>
      <c r="AW383" s="174"/>
      <c r="AY383" s="175"/>
      <c r="BB383" s="176"/>
      <c r="BC383" s="176"/>
      <c r="BD383" s="172"/>
      <c r="BE383" s="170"/>
    </row>
    <row r="384" spans="3:57">
      <c r="C384" s="167"/>
      <c r="R384" s="211"/>
      <c r="T384" s="168"/>
      <c r="U384" s="169"/>
      <c r="V384" s="170"/>
      <c r="W384" s="170"/>
      <c r="AF384" s="171"/>
      <c r="AJ384" s="172"/>
      <c r="AK384" s="170"/>
      <c r="AM384" s="168"/>
      <c r="AN384" s="168"/>
      <c r="AV384" s="173"/>
      <c r="AW384" s="174"/>
      <c r="AY384" s="175"/>
      <c r="BB384" s="176"/>
      <c r="BC384" s="176"/>
      <c r="BD384" s="172"/>
      <c r="BE384" s="170"/>
    </row>
    <row r="385" spans="3:57">
      <c r="C385" s="167"/>
      <c r="R385" s="211"/>
      <c r="T385" s="168"/>
      <c r="U385" s="169"/>
      <c r="V385" s="170"/>
      <c r="W385" s="170"/>
      <c r="AF385" s="171"/>
      <c r="AJ385" s="172"/>
      <c r="AK385" s="170"/>
      <c r="AM385" s="168"/>
      <c r="AN385" s="168"/>
      <c r="AV385" s="173"/>
      <c r="AW385" s="174"/>
      <c r="AY385" s="175"/>
      <c r="BB385" s="176"/>
      <c r="BC385" s="176"/>
      <c r="BD385" s="172"/>
      <c r="BE385" s="170"/>
    </row>
    <row r="386" spans="3:57">
      <c r="C386" s="167"/>
      <c r="R386" s="211"/>
      <c r="T386" s="168"/>
      <c r="U386" s="169"/>
      <c r="V386" s="170"/>
      <c r="W386" s="170"/>
      <c r="AF386" s="171"/>
      <c r="AJ386" s="172"/>
      <c r="AK386" s="170"/>
      <c r="AM386" s="168"/>
      <c r="AN386" s="168"/>
      <c r="AV386" s="173"/>
      <c r="AW386" s="174"/>
      <c r="AY386" s="175"/>
      <c r="BB386" s="176"/>
      <c r="BC386" s="176"/>
      <c r="BD386" s="172"/>
      <c r="BE386" s="170"/>
    </row>
    <row r="387" spans="3:57">
      <c r="C387" s="167"/>
      <c r="R387" s="211"/>
      <c r="T387" s="168"/>
      <c r="U387" s="169"/>
      <c r="V387" s="170"/>
      <c r="W387" s="170"/>
      <c r="AF387" s="171"/>
      <c r="AJ387" s="172"/>
      <c r="AK387" s="170"/>
      <c r="AM387" s="168"/>
      <c r="AN387" s="168"/>
      <c r="AV387" s="173"/>
      <c r="AW387" s="174"/>
      <c r="AY387" s="175"/>
      <c r="BB387" s="176"/>
      <c r="BC387" s="176"/>
      <c r="BD387" s="172"/>
      <c r="BE387" s="170"/>
    </row>
    <row r="388" spans="3:57">
      <c r="C388" s="167"/>
      <c r="R388" s="211"/>
      <c r="T388" s="168"/>
      <c r="U388" s="169"/>
      <c r="V388" s="170"/>
      <c r="W388" s="170"/>
      <c r="AF388" s="171"/>
      <c r="AJ388" s="172"/>
      <c r="AK388" s="170"/>
      <c r="AM388" s="168"/>
      <c r="AN388" s="168"/>
      <c r="AV388" s="173"/>
      <c r="AW388" s="174"/>
      <c r="AY388" s="175"/>
      <c r="BB388" s="176"/>
      <c r="BC388" s="176"/>
      <c r="BD388" s="172"/>
      <c r="BE388" s="170"/>
    </row>
    <row r="389" spans="3:57">
      <c r="C389" s="167"/>
      <c r="R389" s="211"/>
      <c r="T389" s="168"/>
      <c r="U389" s="169"/>
      <c r="V389" s="170"/>
      <c r="W389" s="170"/>
      <c r="AF389" s="171"/>
      <c r="AJ389" s="172"/>
      <c r="AK389" s="170"/>
      <c r="AM389" s="168"/>
      <c r="AN389" s="168"/>
      <c r="AV389" s="173"/>
      <c r="AW389" s="174"/>
      <c r="AY389" s="175"/>
      <c r="BB389" s="176"/>
      <c r="BC389" s="176"/>
      <c r="BD389" s="172"/>
      <c r="BE389" s="170"/>
    </row>
    <row r="390" spans="3:57">
      <c r="C390" s="167"/>
      <c r="R390" s="211"/>
      <c r="T390" s="168"/>
      <c r="U390" s="169"/>
      <c r="V390" s="170"/>
      <c r="W390" s="170"/>
      <c r="AF390" s="171"/>
      <c r="AJ390" s="172"/>
      <c r="AK390" s="170"/>
      <c r="AM390" s="168"/>
      <c r="AN390" s="168"/>
      <c r="AV390" s="173"/>
      <c r="AW390" s="174"/>
      <c r="AY390" s="175"/>
      <c r="BB390" s="176"/>
      <c r="BC390" s="176"/>
      <c r="BD390" s="172"/>
      <c r="BE390" s="170"/>
    </row>
    <row r="391" spans="3:57">
      <c r="C391" s="167"/>
      <c r="R391" s="211"/>
      <c r="T391" s="168"/>
      <c r="U391" s="169"/>
      <c r="V391" s="170"/>
      <c r="W391" s="170"/>
      <c r="AF391" s="171"/>
      <c r="AJ391" s="172"/>
      <c r="AK391" s="170"/>
      <c r="AM391" s="168"/>
      <c r="AN391" s="168"/>
      <c r="AV391" s="173"/>
      <c r="AW391" s="174"/>
      <c r="AY391" s="175"/>
      <c r="BB391" s="176"/>
      <c r="BC391" s="176"/>
      <c r="BD391" s="172"/>
      <c r="BE391" s="170"/>
    </row>
    <row r="392" spans="3:57">
      <c r="C392" s="167"/>
      <c r="R392" s="211"/>
      <c r="T392" s="168"/>
      <c r="U392" s="169"/>
      <c r="V392" s="170"/>
      <c r="W392" s="170"/>
      <c r="AF392" s="171"/>
      <c r="AJ392" s="172"/>
      <c r="AK392" s="170"/>
      <c r="AM392" s="168"/>
      <c r="AN392" s="168"/>
      <c r="AV392" s="173"/>
      <c r="AW392" s="174"/>
      <c r="AY392" s="175"/>
      <c r="BB392" s="176"/>
      <c r="BC392" s="176"/>
      <c r="BD392" s="172"/>
      <c r="BE392" s="170"/>
    </row>
    <row r="393" spans="3:57">
      <c r="C393" s="167"/>
      <c r="R393" s="211"/>
      <c r="T393" s="168"/>
      <c r="U393" s="169"/>
      <c r="V393" s="170"/>
      <c r="W393" s="170"/>
      <c r="AF393" s="171"/>
      <c r="AJ393" s="172"/>
      <c r="AK393" s="170"/>
      <c r="AM393" s="168"/>
      <c r="AN393" s="168"/>
      <c r="AV393" s="173"/>
      <c r="AW393" s="174"/>
      <c r="AY393" s="175"/>
      <c r="BB393" s="176"/>
      <c r="BC393" s="176"/>
      <c r="BD393" s="172"/>
      <c r="BE393" s="170"/>
    </row>
    <row r="394" spans="3:57">
      <c r="C394" s="167"/>
      <c r="R394" s="211"/>
      <c r="T394" s="168"/>
      <c r="U394" s="169"/>
      <c r="V394" s="170"/>
      <c r="W394" s="170"/>
      <c r="AF394" s="171"/>
      <c r="AJ394" s="172"/>
      <c r="AK394" s="170"/>
      <c r="AM394" s="168"/>
      <c r="AN394" s="168"/>
      <c r="AV394" s="173"/>
      <c r="AW394" s="174"/>
      <c r="AY394" s="175"/>
      <c r="BB394" s="176"/>
      <c r="BC394" s="176"/>
      <c r="BD394" s="172"/>
      <c r="BE394" s="170"/>
    </row>
    <row r="395" spans="3:57">
      <c r="C395" s="167"/>
      <c r="R395" s="211"/>
      <c r="T395" s="168"/>
      <c r="U395" s="169"/>
      <c r="V395" s="170"/>
      <c r="W395" s="170"/>
      <c r="AF395" s="171"/>
      <c r="AJ395" s="172"/>
      <c r="AK395" s="170"/>
      <c r="AM395" s="168"/>
      <c r="AN395" s="168"/>
      <c r="AV395" s="173"/>
      <c r="AW395" s="174"/>
      <c r="AY395" s="175"/>
      <c r="BB395" s="176"/>
      <c r="BC395" s="176"/>
      <c r="BD395" s="172"/>
      <c r="BE395" s="170"/>
    </row>
    <row r="396" spans="3:57">
      <c r="C396" s="167"/>
      <c r="R396" s="211"/>
      <c r="T396" s="168"/>
      <c r="U396" s="169"/>
      <c r="V396" s="170"/>
      <c r="W396" s="170"/>
      <c r="AF396" s="171"/>
      <c r="AJ396" s="172"/>
      <c r="AK396" s="170"/>
      <c r="AM396" s="168"/>
      <c r="AN396" s="168"/>
      <c r="AV396" s="173"/>
      <c r="AW396" s="174"/>
      <c r="AY396" s="175"/>
      <c r="BB396" s="176"/>
      <c r="BC396" s="176"/>
      <c r="BD396" s="172"/>
      <c r="BE396" s="170"/>
    </row>
    <row r="397" spans="3:57">
      <c r="C397" s="167"/>
      <c r="R397" s="211"/>
      <c r="T397" s="168"/>
      <c r="U397" s="169"/>
      <c r="V397" s="170"/>
      <c r="W397" s="170"/>
      <c r="AF397" s="171"/>
      <c r="AJ397" s="172"/>
      <c r="AK397" s="170"/>
      <c r="AM397" s="168"/>
      <c r="AN397" s="168"/>
      <c r="AV397" s="173"/>
      <c r="AW397" s="174"/>
      <c r="AY397" s="175"/>
      <c r="BB397" s="176"/>
      <c r="BC397" s="176"/>
      <c r="BD397" s="172"/>
      <c r="BE397" s="170"/>
    </row>
    <row r="398" spans="3:57">
      <c r="C398" s="167"/>
      <c r="R398" s="211"/>
      <c r="T398" s="168"/>
      <c r="U398" s="169"/>
      <c r="V398" s="170"/>
      <c r="W398" s="170"/>
      <c r="AF398" s="171"/>
      <c r="AJ398" s="172"/>
      <c r="AK398" s="170"/>
      <c r="AM398" s="168"/>
      <c r="AN398" s="168"/>
      <c r="AV398" s="173"/>
      <c r="AW398" s="174"/>
      <c r="AY398" s="175"/>
      <c r="BB398" s="176"/>
      <c r="BC398" s="176"/>
      <c r="BD398" s="172"/>
      <c r="BE398" s="170"/>
    </row>
    <row r="399" spans="3:57">
      <c r="C399" s="167"/>
      <c r="R399" s="211"/>
      <c r="T399" s="168"/>
      <c r="U399" s="169"/>
      <c r="V399" s="170"/>
      <c r="W399" s="170"/>
      <c r="AF399" s="171"/>
      <c r="AJ399" s="172"/>
      <c r="AK399" s="170"/>
      <c r="AM399" s="168"/>
      <c r="AN399" s="168"/>
      <c r="AV399" s="173"/>
      <c r="AW399" s="174"/>
      <c r="AY399" s="175"/>
      <c r="BB399" s="176"/>
      <c r="BC399" s="176"/>
      <c r="BD399" s="172"/>
      <c r="BE399" s="170"/>
    </row>
    <row r="400" spans="3:57">
      <c r="C400" s="167"/>
      <c r="R400" s="211"/>
      <c r="T400" s="168"/>
      <c r="U400" s="169"/>
      <c r="V400" s="170"/>
      <c r="W400" s="170"/>
      <c r="AF400" s="171"/>
      <c r="AJ400" s="172"/>
      <c r="AK400" s="170"/>
      <c r="AM400" s="168"/>
      <c r="AN400" s="168"/>
      <c r="AV400" s="173"/>
      <c r="AW400" s="174"/>
      <c r="AY400" s="175"/>
      <c r="BB400" s="176"/>
      <c r="BC400" s="176"/>
      <c r="BD400" s="172"/>
      <c r="BE400" s="170"/>
    </row>
    <row r="401" spans="3:57">
      <c r="C401" s="167"/>
      <c r="R401" s="211"/>
      <c r="T401" s="168"/>
      <c r="U401" s="169"/>
      <c r="V401" s="170"/>
      <c r="W401" s="170"/>
      <c r="AF401" s="171"/>
      <c r="AJ401" s="172"/>
      <c r="AK401" s="170"/>
      <c r="AM401" s="168"/>
      <c r="AN401" s="168"/>
      <c r="AV401" s="173"/>
      <c r="AW401" s="174"/>
      <c r="AY401" s="175"/>
      <c r="BB401" s="176"/>
      <c r="BC401" s="176"/>
      <c r="BD401" s="172"/>
      <c r="BE401" s="170"/>
    </row>
    <row r="402" spans="3:57">
      <c r="C402" s="167"/>
      <c r="R402" s="211"/>
      <c r="T402" s="168"/>
      <c r="U402" s="169"/>
      <c r="V402" s="170"/>
      <c r="W402" s="170"/>
      <c r="AF402" s="171"/>
      <c r="AJ402" s="172"/>
      <c r="AK402" s="170"/>
      <c r="AM402" s="168"/>
      <c r="AN402" s="168"/>
      <c r="AV402" s="173"/>
      <c r="AW402" s="174"/>
      <c r="AY402" s="175"/>
      <c r="BB402" s="176"/>
      <c r="BC402" s="176"/>
      <c r="BD402" s="172"/>
      <c r="BE402" s="170"/>
    </row>
    <row r="403" spans="3:57">
      <c r="C403" s="167"/>
      <c r="R403" s="211"/>
      <c r="T403" s="168"/>
      <c r="U403" s="169"/>
      <c r="V403" s="170"/>
      <c r="W403" s="170"/>
      <c r="AF403" s="171"/>
      <c r="AJ403" s="172"/>
      <c r="AK403" s="170"/>
      <c r="AM403" s="168"/>
      <c r="AN403" s="168"/>
      <c r="AV403" s="173"/>
      <c r="AW403" s="174"/>
      <c r="AY403" s="175"/>
      <c r="BB403" s="176"/>
      <c r="BC403" s="176"/>
      <c r="BD403" s="172"/>
      <c r="BE403" s="170"/>
    </row>
    <row r="404" spans="3:57">
      <c r="C404" s="167"/>
      <c r="R404" s="211"/>
      <c r="T404" s="168"/>
      <c r="U404" s="169"/>
      <c r="V404" s="170"/>
      <c r="W404" s="170"/>
      <c r="AF404" s="171"/>
      <c r="AJ404" s="172"/>
      <c r="AK404" s="170"/>
      <c r="AM404" s="168"/>
      <c r="AN404" s="168"/>
      <c r="AV404" s="173"/>
      <c r="AW404" s="174"/>
      <c r="AY404" s="175"/>
      <c r="BB404" s="176"/>
      <c r="BC404" s="176"/>
      <c r="BD404" s="172"/>
      <c r="BE404" s="170"/>
    </row>
    <row r="405" spans="3:57">
      <c r="C405" s="167"/>
      <c r="R405" s="211"/>
      <c r="T405" s="168"/>
      <c r="U405" s="169"/>
      <c r="V405" s="170"/>
      <c r="W405" s="170"/>
      <c r="AF405" s="171"/>
      <c r="AJ405" s="172"/>
      <c r="AK405" s="170"/>
      <c r="AM405" s="168"/>
      <c r="AN405" s="168"/>
      <c r="AV405" s="173"/>
      <c r="AW405" s="174"/>
      <c r="AY405" s="175"/>
      <c r="BB405" s="176"/>
      <c r="BC405" s="176"/>
      <c r="BD405" s="172"/>
      <c r="BE405" s="170"/>
    </row>
    <row r="406" spans="3:57">
      <c r="C406" s="167"/>
      <c r="R406" s="211"/>
      <c r="T406" s="168"/>
      <c r="U406" s="169"/>
      <c r="V406" s="170"/>
      <c r="W406" s="170"/>
      <c r="AF406" s="171"/>
      <c r="AJ406" s="172"/>
      <c r="AK406" s="170"/>
      <c r="AM406" s="168"/>
      <c r="AN406" s="168"/>
      <c r="AV406" s="173"/>
      <c r="AW406" s="174"/>
      <c r="AY406" s="175"/>
      <c r="BB406" s="176"/>
      <c r="BC406" s="176"/>
      <c r="BD406" s="172"/>
      <c r="BE406" s="170"/>
    </row>
    <row r="407" spans="3:57">
      <c r="C407" s="167"/>
      <c r="R407" s="211"/>
      <c r="T407" s="168"/>
      <c r="U407" s="169"/>
      <c r="V407" s="170"/>
      <c r="W407" s="170"/>
      <c r="AF407" s="171"/>
      <c r="AJ407" s="172"/>
      <c r="AK407" s="170"/>
      <c r="AM407" s="168"/>
      <c r="AN407" s="168"/>
      <c r="AV407" s="173"/>
      <c r="AW407" s="174"/>
      <c r="AY407" s="175"/>
      <c r="BB407" s="176"/>
      <c r="BC407" s="176"/>
      <c r="BD407" s="172"/>
      <c r="BE407" s="170"/>
    </row>
    <row r="408" spans="3:57">
      <c r="C408" s="167"/>
      <c r="R408" s="211"/>
      <c r="T408" s="168"/>
      <c r="U408" s="169"/>
      <c r="V408" s="170"/>
      <c r="W408" s="170"/>
      <c r="AF408" s="171"/>
      <c r="AJ408" s="172"/>
      <c r="AK408" s="170"/>
      <c r="AM408" s="168"/>
      <c r="AN408" s="168"/>
      <c r="AV408" s="173"/>
      <c r="AW408" s="174"/>
      <c r="AY408" s="175"/>
      <c r="BB408" s="176"/>
      <c r="BC408" s="176"/>
      <c r="BD408" s="172"/>
      <c r="BE408" s="170"/>
    </row>
    <row r="409" spans="3:57">
      <c r="C409" s="167"/>
      <c r="R409" s="211"/>
      <c r="T409" s="168"/>
      <c r="U409" s="169"/>
      <c r="V409" s="170"/>
      <c r="W409" s="170"/>
      <c r="AF409" s="171"/>
      <c r="AJ409" s="172"/>
      <c r="AK409" s="170"/>
      <c r="AM409" s="168"/>
      <c r="AN409" s="168"/>
      <c r="AV409" s="173"/>
      <c r="AW409" s="174"/>
      <c r="AY409" s="175"/>
      <c r="BB409" s="176"/>
      <c r="BC409" s="176"/>
      <c r="BD409" s="172"/>
      <c r="BE409" s="170"/>
    </row>
    <row r="410" spans="3:57">
      <c r="C410" s="167"/>
      <c r="R410" s="211"/>
      <c r="T410" s="168"/>
      <c r="U410" s="169"/>
      <c r="V410" s="170"/>
      <c r="W410" s="170"/>
      <c r="AF410" s="171"/>
      <c r="AJ410" s="172"/>
      <c r="AK410" s="170"/>
      <c r="AM410" s="168"/>
      <c r="AN410" s="168"/>
      <c r="AV410" s="173"/>
      <c r="AW410" s="174"/>
      <c r="AY410" s="175"/>
      <c r="BB410" s="176"/>
      <c r="BC410" s="176"/>
      <c r="BD410" s="172"/>
      <c r="BE410" s="170"/>
    </row>
    <row r="411" spans="3:57">
      <c r="C411" s="167"/>
      <c r="R411" s="211"/>
      <c r="T411" s="168"/>
      <c r="U411" s="169"/>
      <c r="V411" s="170"/>
      <c r="W411" s="170"/>
      <c r="AF411" s="171"/>
      <c r="AJ411" s="172"/>
      <c r="AK411" s="170"/>
      <c r="AM411" s="168"/>
      <c r="AN411" s="168"/>
      <c r="AV411" s="173"/>
      <c r="AW411" s="174"/>
      <c r="AY411" s="175"/>
      <c r="BB411" s="176"/>
      <c r="BC411" s="176"/>
      <c r="BD411" s="172"/>
      <c r="BE411" s="170"/>
    </row>
    <row r="412" spans="3:57">
      <c r="C412" s="167"/>
      <c r="R412" s="211"/>
      <c r="T412" s="168"/>
      <c r="U412" s="169"/>
      <c r="V412" s="170"/>
      <c r="W412" s="170"/>
      <c r="AF412" s="171"/>
      <c r="AJ412" s="172"/>
      <c r="AK412" s="170"/>
      <c r="AM412" s="168"/>
      <c r="AN412" s="168"/>
      <c r="AV412" s="173"/>
      <c r="AW412" s="174"/>
      <c r="AY412" s="175"/>
      <c r="BB412" s="176"/>
      <c r="BC412" s="176"/>
      <c r="BD412" s="172"/>
      <c r="BE412" s="170"/>
    </row>
    <row r="413" spans="3:57">
      <c r="C413" s="167"/>
      <c r="R413" s="211"/>
      <c r="T413" s="168"/>
      <c r="U413" s="169"/>
      <c r="V413" s="170"/>
      <c r="W413" s="170"/>
      <c r="AF413" s="171"/>
      <c r="AJ413" s="172"/>
      <c r="AK413" s="170"/>
      <c r="AM413" s="168"/>
      <c r="AN413" s="168"/>
      <c r="AV413" s="173"/>
      <c r="AW413" s="174"/>
      <c r="AY413" s="175"/>
      <c r="BB413" s="176"/>
      <c r="BC413" s="176"/>
      <c r="BD413" s="172"/>
      <c r="BE413" s="170"/>
    </row>
    <row r="414" spans="3:57">
      <c r="C414" s="167"/>
      <c r="R414" s="211"/>
      <c r="T414" s="168"/>
      <c r="U414" s="169"/>
      <c r="V414" s="170"/>
      <c r="W414" s="170"/>
      <c r="AF414" s="171"/>
      <c r="AJ414" s="172"/>
      <c r="AK414" s="170"/>
      <c r="AM414" s="168"/>
      <c r="AN414" s="168"/>
      <c r="AV414" s="173"/>
      <c r="AW414" s="174"/>
      <c r="AY414" s="175"/>
      <c r="BB414" s="176"/>
      <c r="BC414" s="176"/>
      <c r="BD414" s="172"/>
      <c r="BE414" s="170"/>
    </row>
    <row r="415" spans="3:57">
      <c r="C415" s="167"/>
      <c r="R415" s="211"/>
      <c r="T415" s="168"/>
      <c r="U415" s="169"/>
      <c r="V415" s="170"/>
      <c r="W415" s="170"/>
      <c r="AF415" s="171"/>
      <c r="AJ415" s="172"/>
      <c r="AK415" s="170"/>
      <c r="AM415" s="168"/>
      <c r="AN415" s="168"/>
      <c r="AV415" s="173"/>
      <c r="AW415" s="174"/>
      <c r="AY415" s="175"/>
      <c r="BB415" s="176"/>
      <c r="BC415" s="176"/>
      <c r="BD415" s="172"/>
      <c r="BE415" s="170"/>
    </row>
    <row r="416" spans="3:57">
      <c r="C416" s="167"/>
      <c r="R416" s="211"/>
      <c r="T416" s="168"/>
      <c r="U416" s="169"/>
      <c r="V416" s="170"/>
      <c r="W416" s="170"/>
      <c r="AF416" s="171"/>
      <c r="AJ416" s="172"/>
      <c r="AK416" s="170"/>
      <c r="AM416" s="168"/>
      <c r="AN416" s="168"/>
      <c r="AV416" s="173"/>
      <c r="AW416" s="174"/>
      <c r="AY416" s="175"/>
      <c r="BB416" s="176"/>
      <c r="BC416" s="176"/>
      <c r="BD416" s="172"/>
      <c r="BE416" s="170"/>
    </row>
    <row r="417" spans="3:57">
      <c r="C417" s="167"/>
      <c r="R417" s="211"/>
      <c r="T417" s="168"/>
      <c r="U417" s="169"/>
      <c r="V417" s="170"/>
      <c r="W417" s="170"/>
      <c r="AF417" s="171"/>
      <c r="AJ417" s="172"/>
      <c r="AK417" s="170"/>
      <c r="AM417" s="168"/>
      <c r="AN417" s="168"/>
      <c r="AV417" s="173"/>
      <c r="AW417" s="174"/>
      <c r="AY417" s="175"/>
      <c r="BB417" s="176"/>
      <c r="BC417" s="176"/>
      <c r="BD417" s="172"/>
      <c r="BE417" s="170"/>
    </row>
    <row r="418" spans="3:57">
      <c r="C418" s="167"/>
      <c r="R418" s="211"/>
      <c r="T418" s="168"/>
      <c r="U418" s="169"/>
      <c r="V418" s="170"/>
      <c r="W418" s="170"/>
      <c r="AF418" s="171"/>
      <c r="AJ418" s="172"/>
      <c r="AK418" s="170"/>
      <c r="AM418" s="168"/>
      <c r="AN418" s="168"/>
      <c r="AV418" s="173"/>
      <c r="AW418" s="174"/>
      <c r="AY418" s="175"/>
      <c r="BB418" s="176"/>
      <c r="BC418" s="176"/>
      <c r="BD418" s="172"/>
      <c r="BE418" s="170"/>
    </row>
    <row r="419" spans="3:57">
      <c r="C419" s="167"/>
      <c r="R419" s="211"/>
      <c r="T419" s="168"/>
      <c r="U419" s="169"/>
      <c r="V419" s="170"/>
      <c r="W419" s="170"/>
      <c r="AF419" s="171"/>
      <c r="AJ419" s="172"/>
      <c r="AK419" s="170"/>
      <c r="AM419" s="168"/>
      <c r="AN419" s="168"/>
      <c r="AV419" s="173"/>
      <c r="AW419" s="174"/>
      <c r="AY419" s="175"/>
      <c r="BB419" s="176"/>
      <c r="BC419" s="176"/>
      <c r="BD419" s="172"/>
      <c r="BE419" s="170"/>
    </row>
    <row r="420" spans="3:57">
      <c r="C420" s="167"/>
      <c r="R420" s="211"/>
      <c r="T420" s="168"/>
      <c r="U420" s="169"/>
      <c r="V420" s="170"/>
      <c r="W420" s="170"/>
      <c r="AF420" s="171"/>
      <c r="AJ420" s="172"/>
      <c r="AK420" s="170"/>
      <c r="AM420" s="168"/>
      <c r="AN420" s="168"/>
      <c r="AV420" s="173"/>
      <c r="AW420" s="174"/>
      <c r="AY420" s="175"/>
      <c r="BB420" s="176"/>
      <c r="BC420" s="176"/>
      <c r="BD420" s="172"/>
      <c r="BE420" s="170"/>
    </row>
    <row r="421" spans="3:57">
      <c r="C421" s="167"/>
      <c r="R421" s="211"/>
      <c r="T421" s="168"/>
      <c r="U421" s="169"/>
      <c r="V421" s="170"/>
      <c r="W421" s="170"/>
      <c r="AF421" s="171"/>
      <c r="AJ421" s="172"/>
      <c r="AK421" s="170"/>
      <c r="AM421" s="168"/>
      <c r="AN421" s="168"/>
      <c r="AV421" s="173"/>
      <c r="AW421" s="174"/>
      <c r="AY421" s="175"/>
      <c r="BB421" s="176"/>
      <c r="BC421" s="176"/>
      <c r="BD421" s="172"/>
      <c r="BE421" s="170"/>
    </row>
    <row r="422" spans="3:57">
      <c r="C422" s="167"/>
      <c r="R422" s="211"/>
      <c r="T422" s="168"/>
      <c r="U422" s="169"/>
      <c r="V422" s="170"/>
      <c r="W422" s="170"/>
      <c r="AF422" s="171"/>
      <c r="AJ422" s="172"/>
      <c r="AK422" s="170"/>
      <c r="AM422" s="168"/>
      <c r="AN422" s="168"/>
      <c r="AV422" s="173"/>
      <c r="AW422" s="174"/>
      <c r="AY422" s="175"/>
      <c r="BB422" s="176"/>
      <c r="BC422" s="176"/>
      <c r="BD422" s="172"/>
      <c r="BE422" s="170"/>
    </row>
    <row r="423" spans="3:57">
      <c r="C423" s="167"/>
      <c r="R423" s="211"/>
      <c r="T423" s="168"/>
      <c r="U423" s="169"/>
      <c r="V423" s="170"/>
      <c r="W423" s="170"/>
      <c r="AF423" s="171"/>
      <c r="AJ423" s="172"/>
      <c r="AK423" s="170"/>
      <c r="AM423" s="168"/>
      <c r="AN423" s="168"/>
      <c r="AV423" s="173"/>
      <c r="AW423" s="174"/>
      <c r="AY423" s="175"/>
      <c r="BB423" s="176"/>
      <c r="BC423" s="176"/>
      <c r="BD423" s="172"/>
      <c r="BE423" s="170"/>
    </row>
    <row r="424" spans="3:57">
      <c r="C424" s="167"/>
      <c r="R424" s="211"/>
      <c r="T424" s="168"/>
      <c r="U424" s="169"/>
      <c r="V424" s="170"/>
      <c r="W424" s="170"/>
      <c r="AF424" s="171"/>
      <c r="AJ424" s="172"/>
      <c r="AK424" s="170"/>
      <c r="AM424" s="168"/>
      <c r="AN424" s="168"/>
      <c r="AV424" s="173"/>
      <c r="AW424" s="174"/>
      <c r="AY424" s="175"/>
      <c r="BB424" s="176"/>
      <c r="BC424" s="176"/>
      <c r="BD424" s="172"/>
      <c r="BE424" s="170"/>
    </row>
    <row r="425" spans="3:57">
      <c r="C425" s="167"/>
      <c r="R425" s="211"/>
      <c r="T425" s="168"/>
      <c r="U425" s="169"/>
      <c r="V425" s="170"/>
      <c r="W425" s="170"/>
      <c r="AF425" s="171"/>
      <c r="AJ425" s="172"/>
      <c r="AK425" s="170"/>
      <c r="AM425" s="168"/>
      <c r="AN425" s="168"/>
      <c r="AV425" s="173"/>
      <c r="AW425" s="174"/>
      <c r="AY425" s="175"/>
      <c r="BB425" s="176"/>
      <c r="BC425" s="176"/>
      <c r="BD425" s="172"/>
      <c r="BE425" s="170"/>
    </row>
    <row r="426" spans="3:57">
      <c r="C426" s="167"/>
      <c r="R426" s="211"/>
      <c r="T426" s="168"/>
      <c r="U426" s="169"/>
      <c r="V426" s="170"/>
      <c r="W426" s="170"/>
      <c r="AF426" s="171"/>
      <c r="AJ426" s="172"/>
      <c r="AK426" s="170"/>
      <c r="AM426" s="168"/>
      <c r="AN426" s="168"/>
      <c r="AV426" s="173"/>
      <c r="AW426" s="174"/>
      <c r="AY426" s="175"/>
      <c r="BB426" s="176"/>
      <c r="BC426" s="176"/>
      <c r="BD426" s="172"/>
      <c r="BE426" s="170"/>
    </row>
    <row r="427" spans="3:57">
      <c r="C427" s="167"/>
      <c r="R427" s="211"/>
      <c r="T427" s="168"/>
      <c r="U427" s="169"/>
      <c r="V427" s="170"/>
      <c r="W427" s="170"/>
      <c r="AF427" s="171"/>
      <c r="AJ427" s="172"/>
      <c r="AK427" s="170"/>
      <c r="AM427" s="168"/>
      <c r="AN427" s="168"/>
      <c r="AV427" s="173"/>
      <c r="AW427" s="174"/>
      <c r="AY427" s="175"/>
      <c r="BB427" s="176"/>
      <c r="BC427" s="176"/>
      <c r="BD427" s="172"/>
      <c r="BE427" s="170"/>
    </row>
    <row r="428" spans="3:57">
      <c r="C428" s="167"/>
      <c r="R428" s="211"/>
      <c r="T428" s="168"/>
      <c r="U428" s="169"/>
      <c r="V428" s="170"/>
      <c r="W428" s="170"/>
      <c r="AF428" s="171"/>
      <c r="AJ428" s="172"/>
      <c r="AK428" s="170"/>
      <c r="AM428" s="168"/>
      <c r="AN428" s="168"/>
      <c r="AV428" s="173"/>
      <c r="AW428" s="174"/>
      <c r="AY428" s="175"/>
      <c r="BB428" s="176"/>
      <c r="BC428" s="176"/>
      <c r="BD428" s="172"/>
      <c r="BE428" s="170"/>
    </row>
    <row r="429" spans="3:57">
      <c r="C429" s="167"/>
      <c r="R429" s="211"/>
      <c r="T429" s="168"/>
      <c r="U429" s="169"/>
      <c r="V429" s="170"/>
      <c r="W429" s="170"/>
      <c r="AF429" s="171"/>
      <c r="AJ429" s="172"/>
      <c r="AK429" s="170"/>
      <c r="AM429" s="168"/>
      <c r="AN429" s="168"/>
      <c r="AV429" s="173"/>
      <c r="AW429" s="174"/>
      <c r="AY429" s="175"/>
      <c r="BB429" s="176"/>
      <c r="BC429" s="176"/>
      <c r="BD429" s="172"/>
      <c r="BE429" s="170"/>
    </row>
    <row r="430" spans="3:57">
      <c r="C430" s="167"/>
      <c r="R430" s="211"/>
      <c r="T430" s="168"/>
      <c r="U430" s="169"/>
      <c r="V430" s="170"/>
      <c r="W430" s="170"/>
      <c r="AF430" s="171"/>
      <c r="AJ430" s="172"/>
      <c r="AK430" s="170"/>
      <c r="AM430" s="168"/>
      <c r="AN430" s="168"/>
      <c r="AV430" s="173"/>
      <c r="AW430" s="174"/>
      <c r="AY430" s="175"/>
      <c r="BB430" s="176"/>
      <c r="BC430" s="176"/>
      <c r="BD430" s="172"/>
      <c r="BE430" s="170"/>
    </row>
    <row r="431" spans="3:57">
      <c r="C431" s="167"/>
      <c r="R431" s="211"/>
      <c r="T431" s="168"/>
      <c r="U431" s="169"/>
      <c r="V431" s="170"/>
      <c r="W431" s="170"/>
      <c r="AF431" s="171"/>
      <c r="AJ431" s="172"/>
      <c r="AK431" s="170"/>
      <c r="AM431" s="168"/>
      <c r="AN431" s="168"/>
      <c r="AV431" s="173"/>
      <c r="AW431" s="174"/>
      <c r="AY431" s="175"/>
      <c r="BB431" s="176"/>
      <c r="BC431" s="176"/>
      <c r="BD431" s="172"/>
      <c r="BE431" s="170"/>
    </row>
    <row r="432" spans="3:57">
      <c r="C432" s="167"/>
      <c r="R432" s="211"/>
      <c r="T432" s="168"/>
      <c r="U432" s="169"/>
      <c r="V432" s="170"/>
      <c r="W432" s="170"/>
      <c r="AF432" s="171"/>
      <c r="AJ432" s="172"/>
      <c r="AK432" s="170"/>
      <c r="AM432" s="168"/>
      <c r="AN432" s="168"/>
      <c r="AV432" s="173"/>
      <c r="AW432" s="174"/>
      <c r="AY432" s="175"/>
      <c r="BB432" s="176"/>
      <c r="BC432" s="176"/>
      <c r="BD432" s="172"/>
      <c r="BE432" s="170"/>
    </row>
    <row r="433" spans="3:57">
      <c r="C433" s="167"/>
      <c r="R433" s="211"/>
      <c r="T433" s="168"/>
      <c r="U433" s="169"/>
      <c r="V433" s="170"/>
      <c r="W433" s="170"/>
      <c r="AF433" s="171"/>
      <c r="AJ433" s="172"/>
      <c r="AK433" s="170"/>
      <c r="AM433" s="168"/>
      <c r="AN433" s="168"/>
      <c r="AV433" s="173"/>
      <c r="AW433" s="174"/>
      <c r="AY433" s="175"/>
      <c r="BB433" s="176"/>
      <c r="BC433" s="176"/>
      <c r="BD433" s="172"/>
      <c r="BE433" s="170"/>
    </row>
    <row r="434" spans="3:57">
      <c r="C434" s="167"/>
      <c r="R434" s="211"/>
      <c r="T434" s="168"/>
      <c r="U434" s="169"/>
      <c r="V434" s="170"/>
      <c r="W434" s="170"/>
      <c r="AF434" s="171"/>
      <c r="AJ434" s="172"/>
      <c r="AK434" s="170"/>
      <c r="AM434" s="168"/>
      <c r="AN434" s="168"/>
      <c r="AV434" s="173"/>
      <c r="AW434" s="174"/>
      <c r="AY434" s="175"/>
      <c r="BB434" s="176"/>
      <c r="BC434" s="176"/>
      <c r="BD434" s="172"/>
      <c r="BE434" s="170"/>
    </row>
    <row r="435" spans="3:57">
      <c r="C435" s="167"/>
      <c r="R435" s="211"/>
      <c r="T435" s="168"/>
      <c r="U435" s="169"/>
      <c r="V435" s="170"/>
      <c r="W435" s="170"/>
      <c r="AF435" s="171"/>
      <c r="AJ435" s="172"/>
      <c r="AK435" s="170"/>
      <c r="AM435" s="168"/>
      <c r="AN435" s="168"/>
      <c r="AV435" s="173"/>
      <c r="AW435" s="174"/>
      <c r="AY435" s="175"/>
      <c r="BB435" s="176"/>
      <c r="BC435" s="176"/>
      <c r="BD435" s="172"/>
      <c r="BE435" s="170"/>
    </row>
    <row r="436" spans="3:57">
      <c r="C436" s="167"/>
      <c r="R436" s="211"/>
      <c r="T436" s="168"/>
      <c r="U436" s="169"/>
      <c r="V436" s="170"/>
      <c r="W436" s="170"/>
      <c r="AF436" s="171"/>
      <c r="AJ436" s="172"/>
      <c r="AK436" s="170"/>
      <c r="AM436" s="168"/>
      <c r="AN436" s="168"/>
      <c r="AV436" s="173"/>
      <c r="AW436" s="174"/>
      <c r="AY436" s="175"/>
      <c r="BB436" s="176"/>
      <c r="BC436" s="176"/>
      <c r="BD436" s="172"/>
      <c r="BE436" s="170"/>
    </row>
    <row r="437" spans="3:57">
      <c r="C437" s="167"/>
      <c r="R437" s="211"/>
      <c r="T437" s="168"/>
      <c r="U437" s="169"/>
      <c r="V437" s="170"/>
      <c r="W437" s="170"/>
      <c r="AF437" s="171"/>
      <c r="AJ437" s="172"/>
      <c r="AK437" s="170"/>
      <c r="AM437" s="168"/>
      <c r="AN437" s="168"/>
      <c r="AV437" s="173"/>
      <c r="AW437" s="174"/>
      <c r="AY437" s="175"/>
      <c r="BB437" s="176"/>
      <c r="BC437" s="176"/>
      <c r="BD437" s="172"/>
      <c r="BE437" s="170"/>
    </row>
    <row r="438" spans="3:57">
      <c r="C438" s="167"/>
      <c r="R438" s="211"/>
      <c r="T438" s="168"/>
      <c r="U438" s="169"/>
      <c r="V438" s="170"/>
      <c r="W438" s="170"/>
      <c r="AF438" s="171"/>
      <c r="AJ438" s="172"/>
      <c r="AK438" s="170"/>
      <c r="AM438" s="168"/>
      <c r="AN438" s="168"/>
      <c r="AV438" s="173"/>
      <c r="AW438" s="174"/>
      <c r="AY438" s="175"/>
      <c r="BB438" s="176"/>
      <c r="BC438" s="176"/>
      <c r="BD438" s="172"/>
      <c r="BE438" s="170"/>
    </row>
    <row r="439" spans="3:57">
      <c r="C439" s="167"/>
      <c r="R439" s="211"/>
      <c r="T439" s="168"/>
      <c r="U439" s="169"/>
      <c r="V439" s="170"/>
      <c r="W439" s="170"/>
      <c r="AF439" s="171"/>
      <c r="AJ439" s="172"/>
      <c r="AK439" s="170"/>
      <c r="AM439" s="168"/>
      <c r="AN439" s="168"/>
      <c r="AV439" s="173"/>
      <c r="AW439" s="174"/>
      <c r="AY439" s="175"/>
      <c r="BB439" s="176"/>
      <c r="BC439" s="176"/>
      <c r="BD439" s="172"/>
      <c r="BE439" s="170"/>
    </row>
    <row r="440" spans="3:57">
      <c r="C440" s="167"/>
      <c r="R440" s="211"/>
      <c r="T440" s="168"/>
      <c r="U440" s="169"/>
      <c r="V440" s="170"/>
      <c r="W440" s="170"/>
      <c r="AF440" s="171"/>
      <c r="AJ440" s="172"/>
      <c r="AK440" s="170"/>
      <c r="AM440" s="168"/>
      <c r="AN440" s="168"/>
      <c r="AV440" s="173"/>
      <c r="AW440" s="174"/>
      <c r="AY440" s="175"/>
      <c r="BB440" s="176"/>
      <c r="BC440" s="176"/>
      <c r="BD440" s="172"/>
      <c r="BE440" s="170"/>
    </row>
    <row r="441" spans="3:57">
      <c r="C441" s="167"/>
      <c r="R441" s="211"/>
      <c r="T441" s="168"/>
      <c r="U441" s="169"/>
      <c r="V441" s="170"/>
      <c r="W441" s="170"/>
      <c r="AF441" s="171"/>
      <c r="AJ441" s="172"/>
      <c r="AK441" s="170"/>
      <c r="AM441" s="168"/>
      <c r="AN441" s="168"/>
      <c r="AV441" s="173"/>
      <c r="AW441" s="174"/>
      <c r="AY441" s="175"/>
      <c r="BB441" s="176"/>
      <c r="BC441" s="176"/>
      <c r="BD441" s="172"/>
      <c r="BE441" s="170"/>
    </row>
    <row r="442" spans="3:57">
      <c r="C442" s="167"/>
      <c r="R442" s="211"/>
      <c r="T442" s="168"/>
      <c r="U442" s="169"/>
      <c r="V442" s="170"/>
      <c r="W442" s="170"/>
      <c r="AF442" s="171"/>
      <c r="AJ442" s="172"/>
      <c r="AK442" s="170"/>
      <c r="AM442" s="168"/>
      <c r="AN442" s="168"/>
      <c r="AV442" s="173"/>
      <c r="AW442" s="174"/>
      <c r="AY442" s="175"/>
      <c r="BB442" s="176"/>
      <c r="BC442" s="176"/>
      <c r="BD442" s="172"/>
      <c r="BE442" s="170"/>
    </row>
    <row r="443" spans="3:57">
      <c r="C443" s="167"/>
      <c r="R443" s="211"/>
      <c r="T443" s="168"/>
      <c r="U443" s="169"/>
      <c r="V443" s="170"/>
      <c r="W443" s="170"/>
      <c r="AF443" s="171"/>
      <c r="AJ443" s="172"/>
      <c r="AK443" s="170"/>
      <c r="AM443" s="168"/>
      <c r="AN443" s="168"/>
      <c r="AV443" s="173"/>
      <c r="AW443" s="174"/>
      <c r="AY443" s="175"/>
      <c r="BB443" s="176"/>
      <c r="BC443" s="176"/>
      <c r="BD443" s="172"/>
      <c r="BE443" s="170"/>
    </row>
    <row r="444" spans="3:57">
      <c r="C444" s="167"/>
      <c r="R444" s="211"/>
      <c r="T444" s="168"/>
      <c r="U444" s="169"/>
      <c r="V444" s="170"/>
      <c r="W444" s="170"/>
      <c r="AF444" s="171"/>
      <c r="AJ444" s="172"/>
      <c r="AK444" s="170"/>
      <c r="AM444" s="168"/>
      <c r="AN444" s="168"/>
      <c r="AV444" s="173"/>
      <c r="AW444" s="174"/>
      <c r="AY444" s="175"/>
      <c r="BB444" s="176"/>
      <c r="BC444" s="176"/>
      <c r="BD444" s="172"/>
      <c r="BE444" s="170"/>
    </row>
    <row r="445" spans="3:57">
      <c r="C445" s="167"/>
      <c r="R445" s="211"/>
      <c r="T445" s="168"/>
      <c r="U445" s="169"/>
      <c r="V445" s="170"/>
      <c r="W445" s="170"/>
      <c r="AF445" s="171"/>
      <c r="AJ445" s="172"/>
      <c r="AK445" s="170"/>
      <c r="AM445" s="168"/>
      <c r="AN445" s="168"/>
      <c r="AV445" s="173"/>
      <c r="AW445" s="174"/>
      <c r="AY445" s="175"/>
      <c r="BB445" s="176"/>
      <c r="BC445" s="176"/>
      <c r="BD445" s="172"/>
      <c r="BE445" s="170"/>
    </row>
    <row r="446" spans="3:57">
      <c r="C446" s="167"/>
      <c r="R446" s="211"/>
      <c r="T446" s="168"/>
      <c r="U446" s="169"/>
      <c r="V446" s="170"/>
      <c r="W446" s="170"/>
      <c r="AF446" s="171"/>
      <c r="AJ446" s="172"/>
      <c r="AK446" s="170"/>
      <c r="AM446" s="168"/>
      <c r="AN446" s="168"/>
      <c r="AV446" s="173"/>
      <c r="AW446" s="174"/>
      <c r="AY446" s="175"/>
      <c r="BB446" s="176"/>
      <c r="BC446" s="176"/>
      <c r="BD446" s="172"/>
      <c r="BE446" s="170"/>
    </row>
    <row r="447" spans="3:57">
      <c r="C447" s="167"/>
      <c r="R447" s="211"/>
      <c r="T447" s="168"/>
      <c r="U447" s="169"/>
      <c r="V447" s="170"/>
      <c r="W447" s="170"/>
      <c r="AF447" s="171"/>
      <c r="AJ447" s="172"/>
      <c r="AK447" s="170"/>
      <c r="AM447" s="168"/>
      <c r="AN447" s="168"/>
      <c r="AV447" s="173"/>
      <c r="AW447" s="174"/>
      <c r="AY447" s="175"/>
      <c r="BB447" s="176"/>
      <c r="BC447" s="176"/>
      <c r="BD447" s="172"/>
      <c r="BE447" s="170"/>
    </row>
    <row r="448" spans="3:57">
      <c r="C448" s="167"/>
      <c r="R448" s="211"/>
      <c r="T448" s="168"/>
      <c r="U448" s="169"/>
      <c r="V448" s="170"/>
      <c r="W448" s="170"/>
      <c r="AF448" s="171"/>
      <c r="AJ448" s="172"/>
      <c r="AK448" s="170"/>
      <c r="AM448" s="168"/>
      <c r="AN448" s="168"/>
      <c r="AV448" s="173"/>
      <c r="AW448" s="174"/>
      <c r="AY448" s="175"/>
      <c r="BB448" s="176"/>
      <c r="BC448" s="176"/>
      <c r="BD448" s="172"/>
      <c r="BE448" s="170"/>
    </row>
    <row r="449" spans="3:57">
      <c r="C449" s="167"/>
      <c r="R449" s="211"/>
      <c r="T449" s="168"/>
      <c r="U449" s="169"/>
      <c r="V449" s="170"/>
      <c r="W449" s="170"/>
      <c r="AF449" s="171"/>
      <c r="AJ449" s="172"/>
      <c r="AK449" s="170"/>
      <c r="AM449" s="168"/>
      <c r="AN449" s="168"/>
      <c r="AV449" s="173"/>
      <c r="AW449" s="174"/>
      <c r="AY449" s="175"/>
      <c r="BB449" s="176"/>
      <c r="BC449" s="176"/>
      <c r="BD449" s="172"/>
      <c r="BE449" s="170"/>
    </row>
    <row r="450" spans="3:57">
      <c r="C450" s="167"/>
      <c r="R450" s="211"/>
      <c r="T450" s="168"/>
      <c r="U450" s="169"/>
      <c r="V450" s="170"/>
      <c r="W450" s="170"/>
      <c r="AF450" s="171"/>
      <c r="AJ450" s="172"/>
      <c r="AK450" s="170"/>
      <c r="AM450" s="168"/>
      <c r="AN450" s="168"/>
      <c r="AV450" s="173"/>
      <c r="AW450" s="174"/>
      <c r="AY450" s="175"/>
      <c r="BB450" s="176"/>
      <c r="BC450" s="176"/>
      <c r="BD450" s="172"/>
      <c r="BE450" s="170"/>
    </row>
    <row r="451" spans="3:57">
      <c r="C451" s="167"/>
      <c r="R451" s="211"/>
      <c r="T451" s="168"/>
      <c r="U451" s="169"/>
      <c r="V451" s="170"/>
      <c r="W451" s="170"/>
      <c r="AF451" s="171"/>
      <c r="AJ451" s="172"/>
      <c r="AK451" s="170"/>
      <c r="AM451" s="168"/>
      <c r="AN451" s="168"/>
      <c r="AV451" s="173"/>
      <c r="AW451" s="174"/>
      <c r="AY451" s="175"/>
      <c r="BB451" s="176"/>
      <c r="BC451" s="176"/>
      <c r="BD451" s="172"/>
      <c r="BE451" s="170"/>
    </row>
    <row r="452" spans="3:57">
      <c r="C452" s="167"/>
      <c r="R452" s="211"/>
      <c r="T452" s="168"/>
      <c r="U452" s="169"/>
      <c r="V452" s="170"/>
      <c r="W452" s="170"/>
      <c r="AF452" s="171"/>
      <c r="AJ452" s="172"/>
      <c r="AK452" s="170"/>
      <c r="AM452" s="168"/>
      <c r="AN452" s="168"/>
      <c r="AV452" s="173"/>
      <c r="AW452" s="174"/>
      <c r="AY452" s="175"/>
      <c r="BB452" s="176"/>
      <c r="BC452" s="176"/>
      <c r="BD452" s="172"/>
      <c r="BE452" s="170"/>
    </row>
    <row r="453" spans="3:57">
      <c r="C453" s="167"/>
      <c r="R453" s="211"/>
      <c r="T453" s="168"/>
      <c r="U453" s="169"/>
      <c r="V453" s="170"/>
      <c r="W453" s="170"/>
      <c r="AF453" s="171"/>
      <c r="AJ453" s="172"/>
      <c r="AK453" s="170"/>
      <c r="AM453" s="168"/>
      <c r="AN453" s="168"/>
      <c r="AV453" s="173"/>
      <c r="AW453" s="174"/>
      <c r="AY453" s="175"/>
      <c r="BB453" s="176"/>
      <c r="BC453" s="176"/>
      <c r="BD453" s="172"/>
      <c r="BE453" s="170"/>
    </row>
    <row r="454" spans="3:57">
      <c r="C454" s="167"/>
      <c r="R454" s="211"/>
      <c r="T454" s="168"/>
      <c r="U454" s="169"/>
      <c r="V454" s="170"/>
      <c r="W454" s="170"/>
      <c r="AF454" s="171"/>
      <c r="AJ454" s="172"/>
      <c r="AK454" s="170"/>
      <c r="AM454" s="168"/>
      <c r="AN454" s="168"/>
      <c r="AV454" s="173"/>
      <c r="AW454" s="174"/>
      <c r="AY454" s="175"/>
      <c r="BB454" s="176"/>
      <c r="BC454" s="176"/>
      <c r="BD454" s="172"/>
      <c r="BE454" s="170"/>
    </row>
    <row r="455" spans="3:57">
      <c r="C455" s="167"/>
      <c r="R455" s="211"/>
      <c r="T455" s="168"/>
      <c r="U455" s="169"/>
      <c r="V455" s="170"/>
      <c r="W455" s="170"/>
      <c r="AF455" s="171"/>
      <c r="AJ455" s="172"/>
      <c r="AK455" s="170"/>
      <c r="AM455" s="168"/>
      <c r="AN455" s="168"/>
      <c r="AV455" s="173"/>
      <c r="AW455" s="174"/>
      <c r="AY455" s="175"/>
      <c r="BB455" s="176"/>
      <c r="BC455" s="176"/>
      <c r="BD455" s="172"/>
      <c r="BE455" s="170"/>
    </row>
    <row r="456" spans="3:57">
      <c r="C456" s="167"/>
      <c r="R456" s="211"/>
      <c r="T456" s="168"/>
      <c r="U456" s="169"/>
      <c r="V456" s="170"/>
      <c r="W456" s="170"/>
      <c r="AF456" s="171"/>
      <c r="AJ456" s="172"/>
      <c r="AK456" s="170"/>
      <c r="AM456" s="168"/>
      <c r="AN456" s="168"/>
      <c r="AV456" s="173"/>
      <c r="AW456" s="174"/>
      <c r="AY456" s="175"/>
      <c r="BB456" s="176"/>
      <c r="BC456" s="176"/>
      <c r="BD456" s="172"/>
      <c r="BE456" s="170"/>
    </row>
    <row r="457" spans="3:57">
      <c r="C457" s="167"/>
      <c r="R457" s="211"/>
      <c r="T457" s="168"/>
      <c r="U457" s="169"/>
      <c r="V457" s="170"/>
      <c r="W457" s="170"/>
      <c r="AF457" s="171"/>
      <c r="AJ457" s="172"/>
      <c r="AK457" s="170"/>
      <c r="AM457" s="168"/>
      <c r="AN457" s="168"/>
      <c r="AV457" s="173"/>
      <c r="AW457" s="174"/>
      <c r="AY457" s="175"/>
      <c r="BB457" s="176"/>
      <c r="BC457" s="176"/>
      <c r="BD457" s="172"/>
      <c r="BE457" s="170"/>
    </row>
    <row r="458" spans="3:57">
      <c r="C458" s="167"/>
      <c r="R458" s="211"/>
      <c r="T458" s="168"/>
      <c r="U458" s="169"/>
      <c r="V458" s="170"/>
      <c r="W458" s="170"/>
      <c r="AF458" s="171"/>
      <c r="AJ458" s="172"/>
      <c r="AK458" s="170"/>
      <c r="AM458" s="168"/>
      <c r="AN458" s="168"/>
      <c r="AV458" s="173"/>
      <c r="AW458" s="174"/>
      <c r="AY458" s="175"/>
      <c r="BB458" s="176"/>
      <c r="BC458" s="176"/>
      <c r="BD458" s="172"/>
      <c r="BE458" s="170"/>
    </row>
    <row r="459" spans="3:57">
      <c r="C459" s="167"/>
      <c r="R459" s="211"/>
      <c r="T459" s="168"/>
      <c r="U459" s="169"/>
      <c r="V459" s="170"/>
      <c r="W459" s="170"/>
      <c r="AF459" s="171"/>
      <c r="AJ459" s="172"/>
      <c r="AK459" s="170"/>
      <c r="AM459" s="168"/>
      <c r="AN459" s="168"/>
      <c r="AV459" s="173"/>
      <c r="AW459" s="174"/>
      <c r="AY459" s="175"/>
      <c r="BB459" s="176"/>
      <c r="BC459" s="176"/>
      <c r="BD459" s="172"/>
      <c r="BE459" s="170"/>
    </row>
    <row r="460" spans="3:57">
      <c r="C460" s="167"/>
      <c r="R460" s="211"/>
      <c r="T460" s="168"/>
      <c r="U460" s="169"/>
      <c r="V460" s="170"/>
      <c r="W460" s="170"/>
      <c r="AF460" s="171"/>
      <c r="AJ460" s="172"/>
      <c r="AK460" s="170"/>
      <c r="AM460" s="168"/>
      <c r="AN460" s="168"/>
      <c r="AV460" s="173"/>
      <c r="AW460" s="174"/>
      <c r="AY460" s="175"/>
      <c r="BB460" s="176"/>
      <c r="BC460" s="176"/>
      <c r="BD460" s="172"/>
      <c r="BE460" s="170"/>
    </row>
    <row r="461" spans="3:57">
      <c r="C461" s="167"/>
      <c r="R461" s="211"/>
      <c r="T461" s="168"/>
      <c r="U461" s="169"/>
      <c r="V461" s="170"/>
      <c r="W461" s="170"/>
      <c r="AF461" s="171"/>
      <c r="AJ461" s="172"/>
      <c r="AK461" s="170"/>
      <c r="AM461" s="168"/>
      <c r="AN461" s="168"/>
      <c r="AV461" s="173"/>
      <c r="AW461" s="174"/>
      <c r="AY461" s="175"/>
      <c r="BB461" s="176"/>
      <c r="BC461" s="176"/>
      <c r="BD461" s="172"/>
      <c r="BE461" s="170"/>
    </row>
    <row r="462" spans="3:57">
      <c r="C462" s="167"/>
      <c r="R462" s="211"/>
      <c r="T462" s="168"/>
      <c r="U462" s="169"/>
      <c r="V462" s="170"/>
      <c r="W462" s="170"/>
      <c r="AF462" s="171"/>
      <c r="AJ462" s="172"/>
      <c r="AK462" s="170"/>
      <c r="AM462" s="168"/>
      <c r="AN462" s="168"/>
      <c r="AV462" s="173"/>
      <c r="AW462" s="174"/>
      <c r="AY462" s="175"/>
      <c r="BB462" s="176"/>
      <c r="BC462" s="176"/>
      <c r="BD462" s="172"/>
      <c r="BE462" s="170"/>
    </row>
    <row r="463" spans="3:57">
      <c r="C463" s="167"/>
      <c r="R463" s="211"/>
      <c r="T463" s="168"/>
      <c r="U463" s="169"/>
      <c r="V463" s="170"/>
      <c r="W463" s="170"/>
      <c r="AF463" s="171"/>
      <c r="AJ463" s="172"/>
      <c r="AK463" s="170"/>
      <c r="AM463" s="168"/>
      <c r="AN463" s="168"/>
      <c r="AV463" s="173"/>
      <c r="AW463" s="174"/>
      <c r="AY463" s="175"/>
      <c r="BB463" s="176"/>
      <c r="BC463" s="176"/>
      <c r="BD463" s="172"/>
      <c r="BE463" s="170"/>
    </row>
    <row r="464" spans="3:57">
      <c r="C464" s="167"/>
      <c r="R464" s="211"/>
      <c r="T464" s="168"/>
      <c r="U464" s="169"/>
      <c r="V464" s="170"/>
      <c r="W464" s="170"/>
      <c r="AF464" s="171"/>
      <c r="AJ464" s="172"/>
      <c r="AK464" s="170"/>
      <c r="AM464" s="168"/>
      <c r="AN464" s="168"/>
      <c r="AV464" s="173"/>
      <c r="AW464" s="174"/>
      <c r="AY464" s="175"/>
      <c r="BB464" s="176"/>
      <c r="BC464" s="176"/>
      <c r="BD464" s="172"/>
      <c r="BE464" s="170"/>
    </row>
    <row r="465" spans="3:57">
      <c r="C465" s="167"/>
      <c r="R465" s="211"/>
      <c r="T465" s="168"/>
      <c r="U465" s="169"/>
      <c r="V465" s="170"/>
      <c r="W465" s="170"/>
      <c r="AF465" s="171"/>
      <c r="AJ465" s="172"/>
      <c r="AK465" s="170"/>
      <c r="AM465" s="168"/>
      <c r="AN465" s="168"/>
      <c r="AV465" s="173"/>
      <c r="AW465" s="174"/>
      <c r="AY465" s="175"/>
      <c r="BB465" s="176"/>
      <c r="BC465" s="176"/>
      <c r="BD465" s="172"/>
      <c r="BE465" s="170"/>
    </row>
    <row r="466" spans="3:57">
      <c r="C466" s="167"/>
      <c r="R466" s="211"/>
      <c r="T466" s="168"/>
      <c r="U466" s="169"/>
      <c r="V466" s="170"/>
      <c r="W466" s="170"/>
      <c r="AF466" s="171"/>
      <c r="AJ466" s="172"/>
      <c r="AK466" s="170"/>
      <c r="AM466" s="168"/>
      <c r="AN466" s="168"/>
      <c r="AV466" s="173"/>
      <c r="AW466" s="174"/>
      <c r="AY466" s="175"/>
      <c r="BB466" s="176"/>
      <c r="BC466" s="176"/>
      <c r="BD466" s="172"/>
      <c r="BE466" s="170"/>
    </row>
    <row r="467" spans="3:57">
      <c r="C467" s="167"/>
      <c r="R467" s="211"/>
      <c r="T467" s="168"/>
      <c r="U467" s="169"/>
      <c r="V467" s="170"/>
      <c r="W467" s="170"/>
      <c r="AF467" s="171"/>
      <c r="AJ467" s="172"/>
      <c r="AK467" s="170"/>
      <c r="AM467" s="168"/>
      <c r="AN467" s="168"/>
      <c r="AV467" s="173"/>
      <c r="AW467" s="174"/>
      <c r="AY467" s="175"/>
      <c r="BB467" s="176"/>
      <c r="BC467" s="176"/>
      <c r="BD467" s="172"/>
      <c r="BE467" s="170"/>
    </row>
    <row r="468" spans="3:57">
      <c r="C468" s="167"/>
      <c r="R468" s="211"/>
      <c r="T468" s="168"/>
      <c r="U468" s="169"/>
      <c r="V468" s="170"/>
      <c r="W468" s="170"/>
      <c r="AF468" s="171"/>
      <c r="AJ468" s="172"/>
      <c r="AK468" s="170"/>
      <c r="AM468" s="168"/>
      <c r="AN468" s="168"/>
      <c r="AV468" s="173"/>
      <c r="AW468" s="174"/>
      <c r="AY468" s="175"/>
      <c r="BB468" s="176"/>
      <c r="BC468" s="176"/>
      <c r="BD468" s="172"/>
      <c r="BE468" s="170"/>
    </row>
    <row r="469" spans="3:57">
      <c r="C469" s="167"/>
      <c r="R469" s="211"/>
      <c r="T469" s="168"/>
      <c r="U469" s="169"/>
      <c r="V469" s="170"/>
      <c r="W469" s="170"/>
      <c r="AF469" s="171"/>
      <c r="AJ469" s="172"/>
      <c r="AK469" s="170"/>
      <c r="AM469" s="168"/>
      <c r="AN469" s="168"/>
      <c r="AV469" s="173"/>
      <c r="AW469" s="174"/>
      <c r="AY469" s="175"/>
      <c r="BB469" s="176"/>
      <c r="BC469" s="176"/>
      <c r="BD469" s="172"/>
      <c r="BE469" s="170"/>
    </row>
    <row r="470" spans="3:57">
      <c r="C470" s="167"/>
      <c r="R470" s="211"/>
      <c r="T470" s="168"/>
      <c r="U470" s="169"/>
      <c r="V470" s="170"/>
      <c r="W470" s="170"/>
      <c r="AF470" s="171"/>
      <c r="AJ470" s="172"/>
      <c r="AK470" s="170"/>
      <c r="AM470" s="168"/>
      <c r="AN470" s="168"/>
      <c r="AV470" s="173"/>
      <c r="AW470" s="174"/>
      <c r="AY470" s="175"/>
      <c r="BB470" s="176"/>
      <c r="BC470" s="176"/>
      <c r="BD470" s="172"/>
      <c r="BE470" s="170"/>
    </row>
    <row r="471" spans="3:57">
      <c r="C471" s="167"/>
      <c r="R471" s="211"/>
      <c r="T471" s="168"/>
      <c r="U471" s="169"/>
      <c r="V471" s="170"/>
      <c r="W471" s="170"/>
      <c r="AF471" s="171"/>
      <c r="AJ471" s="172"/>
      <c r="AK471" s="170"/>
      <c r="AM471" s="168"/>
      <c r="AN471" s="168"/>
      <c r="AV471" s="173"/>
      <c r="AW471" s="174"/>
      <c r="AY471" s="175"/>
      <c r="BB471" s="176"/>
      <c r="BC471" s="176"/>
      <c r="BD471" s="172"/>
      <c r="BE471" s="170"/>
    </row>
    <row r="472" spans="3:57">
      <c r="C472" s="167"/>
      <c r="R472" s="211"/>
      <c r="T472" s="168"/>
      <c r="U472" s="169"/>
      <c r="V472" s="170"/>
      <c r="W472" s="170"/>
      <c r="AF472" s="171"/>
      <c r="AJ472" s="172"/>
      <c r="AK472" s="170"/>
      <c r="AM472" s="168"/>
      <c r="AN472" s="168"/>
      <c r="AV472" s="173"/>
      <c r="AW472" s="174"/>
      <c r="AY472" s="175"/>
      <c r="BB472" s="176"/>
      <c r="BC472" s="176"/>
      <c r="BD472" s="172"/>
      <c r="BE472" s="170"/>
    </row>
    <row r="473" spans="3:57">
      <c r="C473" s="167"/>
      <c r="R473" s="211"/>
      <c r="T473" s="168"/>
      <c r="U473" s="169"/>
      <c r="V473" s="170"/>
      <c r="W473" s="170"/>
      <c r="AF473" s="171"/>
      <c r="AJ473" s="172"/>
      <c r="AK473" s="170"/>
      <c r="AM473" s="168"/>
      <c r="AN473" s="168"/>
      <c r="AV473" s="173"/>
      <c r="AW473" s="174"/>
      <c r="AY473" s="175"/>
      <c r="BB473" s="176"/>
      <c r="BC473" s="176"/>
      <c r="BD473" s="172"/>
      <c r="BE473" s="170"/>
    </row>
    <row r="474" spans="3:57">
      <c r="C474" s="167"/>
      <c r="R474" s="211"/>
      <c r="T474" s="168"/>
      <c r="U474" s="169"/>
      <c r="V474" s="170"/>
      <c r="W474" s="170"/>
      <c r="AF474" s="171"/>
      <c r="AJ474" s="172"/>
      <c r="AK474" s="170"/>
      <c r="AM474" s="168"/>
      <c r="AN474" s="168"/>
      <c r="AV474" s="173"/>
      <c r="AW474" s="174"/>
      <c r="AY474" s="175"/>
      <c r="BB474" s="176"/>
      <c r="BC474" s="176"/>
      <c r="BD474" s="172"/>
      <c r="BE474" s="170"/>
    </row>
    <row r="475" spans="3:57">
      <c r="C475" s="167"/>
      <c r="R475" s="211"/>
      <c r="T475" s="168"/>
      <c r="U475" s="169"/>
      <c r="V475" s="170"/>
      <c r="W475" s="170"/>
      <c r="AF475" s="171"/>
      <c r="AJ475" s="172"/>
      <c r="AK475" s="170"/>
      <c r="AM475" s="168"/>
      <c r="AN475" s="168"/>
      <c r="AV475" s="173"/>
      <c r="AW475" s="174"/>
      <c r="AY475" s="175"/>
      <c r="BB475" s="176"/>
      <c r="BC475" s="176"/>
      <c r="BD475" s="172"/>
      <c r="BE475" s="170"/>
    </row>
    <row r="476" spans="3:57">
      <c r="C476" s="167"/>
      <c r="R476" s="211"/>
      <c r="T476" s="168"/>
      <c r="U476" s="169"/>
      <c r="V476" s="170"/>
      <c r="W476" s="170"/>
      <c r="AF476" s="171"/>
      <c r="AJ476" s="172"/>
      <c r="AK476" s="170"/>
      <c r="AM476" s="168"/>
      <c r="AN476" s="168"/>
      <c r="AV476" s="173"/>
      <c r="AW476" s="174"/>
      <c r="AY476" s="175"/>
      <c r="BB476" s="176"/>
      <c r="BC476" s="176"/>
      <c r="BD476" s="172"/>
      <c r="BE476" s="170"/>
    </row>
    <row r="477" spans="3:57">
      <c r="C477" s="167"/>
      <c r="R477" s="211"/>
      <c r="T477" s="168"/>
      <c r="U477" s="169"/>
      <c r="V477" s="170"/>
      <c r="W477" s="170"/>
      <c r="AF477" s="171"/>
      <c r="AJ477" s="172"/>
      <c r="AK477" s="170"/>
      <c r="AM477" s="168"/>
      <c r="AN477" s="168"/>
      <c r="AV477" s="173"/>
      <c r="AW477" s="174"/>
      <c r="AY477" s="175"/>
      <c r="BB477" s="176"/>
      <c r="BC477" s="176"/>
      <c r="BD477" s="172"/>
      <c r="BE477" s="170"/>
    </row>
    <row r="478" spans="3:57">
      <c r="C478" s="167"/>
      <c r="R478" s="211"/>
      <c r="T478" s="168"/>
      <c r="U478" s="169"/>
      <c r="V478" s="170"/>
      <c r="W478" s="170"/>
      <c r="AF478" s="171"/>
      <c r="AJ478" s="172"/>
      <c r="AK478" s="170"/>
      <c r="AM478" s="168"/>
      <c r="AN478" s="168"/>
      <c r="AV478" s="173"/>
      <c r="AW478" s="174"/>
      <c r="AY478" s="175"/>
      <c r="BB478" s="176"/>
      <c r="BC478" s="176"/>
      <c r="BD478" s="172"/>
      <c r="BE478" s="170"/>
    </row>
    <row r="479" spans="3:57">
      <c r="C479" s="167"/>
      <c r="R479" s="211"/>
      <c r="T479" s="168"/>
      <c r="U479" s="169"/>
      <c r="V479" s="170"/>
      <c r="W479" s="170"/>
      <c r="AF479" s="171"/>
      <c r="AJ479" s="172"/>
      <c r="AK479" s="170"/>
      <c r="AM479" s="168"/>
      <c r="AN479" s="168"/>
      <c r="AV479" s="173"/>
      <c r="AW479" s="174"/>
      <c r="AY479" s="175"/>
      <c r="BB479" s="176"/>
      <c r="BC479" s="176"/>
      <c r="BD479" s="172"/>
      <c r="BE479" s="170"/>
    </row>
    <row r="480" spans="3:57">
      <c r="C480" s="167"/>
      <c r="R480" s="211"/>
      <c r="T480" s="168"/>
      <c r="U480" s="169"/>
      <c r="V480" s="170"/>
      <c r="W480" s="170"/>
      <c r="AF480" s="171"/>
      <c r="AJ480" s="172"/>
      <c r="AK480" s="170"/>
      <c r="AM480" s="168"/>
      <c r="AN480" s="168"/>
      <c r="AV480" s="173"/>
      <c r="AW480" s="174"/>
      <c r="AY480" s="175"/>
      <c r="BB480" s="176"/>
      <c r="BC480" s="176"/>
      <c r="BD480" s="172"/>
      <c r="BE480" s="170"/>
    </row>
    <row r="481" spans="3:57">
      <c r="C481" s="167"/>
      <c r="R481" s="211"/>
      <c r="T481" s="168"/>
      <c r="U481" s="169"/>
      <c r="V481" s="170"/>
      <c r="W481" s="170"/>
      <c r="AF481" s="171"/>
      <c r="AJ481" s="172"/>
      <c r="AK481" s="170"/>
      <c r="AM481" s="168"/>
      <c r="AN481" s="168"/>
      <c r="AV481" s="173"/>
      <c r="AW481" s="174"/>
      <c r="AY481" s="175"/>
      <c r="BB481" s="176"/>
      <c r="BC481" s="176"/>
      <c r="BD481" s="172"/>
      <c r="BE481" s="170"/>
    </row>
    <row r="482" spans="3:57">
      <c r="C482" s="167"/>
      <c r="R482" s="211"/>
      <c r="T482" s="168"/>
      <c r="U482" s="169"/>
      <c r="V482" s="170"/>
      <c r="W482" s="170"/>
      <c r="AF482" s="171"/>
      <c r="AJ482" s="172"/>
      <c r="AK482" s="170"/>
      <c r="AM482" s="168"/>
      <c r="AN482" s="168"/>
      <c r="AV482" s="173"/>
      <c r="AW482" s="174"/>
      <c r="AY482" s="175"/>
      <c r="BB482" s="176"/>
      <c r="BC482" s="176"/>
      <c r="BD482" s="172"/>
      <c r="BE482" s="170"/>
    </row>
    <row r="483" spans="3:57">
      <c r="C483" s="167"/>
      <c r="R483" s="211"/>
      <c r="T483" s="168"/>
      <c r="U483" s="169"/>
      <c r="V483" s="170"/>
      <c r="W483" s="170"/>
      <c r="AF483" s="171"/>
      <c r="AJ483" s="172"/>
      <c r="AK483" s="170"/>
      <c r="AM483" s="168"/>
      <c r="AN483" s="168"/>
      <c r="AV483" s="173"/>
      <c r="AW483" s="174"/>
      <c r="AY483" s="175"/>
      <c r="BB483" s="176"/>
      <c r="BC483" s="176"/>
      <c r="BD483" s="172"/>
      <c r="BE483" s="170"/>
    </row>
    <row r="484" spans="3:57">
      <c r="C484" s="167"/>
      <c r="R484" s="211"/>
      <c r="T484" s="168"/>
      <c r="U484" s="169"/>
      <c r="V484" s="170"/>
      <c r="W484" s="170"/>
      <c r="AF484" s="171"/>
      <c r="AJ484" s="172"/>
      <c r="AK484" s="170"/>
      <c r="AM484" s="168"/>
      <c r="AN484" s="168"/>
      <c r="AV484" s="173"/>
      <c r="AW484" s="174"/>
      <c r="AY484" s="175"/>
      <c r="BB484" s="176"/>
      <c r="BC484" s="176"/>
      <c r="BD484" s="172"/>
      <c r="BE484" s="170"/>
    </row>
    <row r="485" spans="3:57">
      <c r="C485" s="167"/>
      <c r="R485" s="211"/>
      <c r="T485" s="168"/>
      <c r="U485" s="169"/>
      <c r="V485" s="170"/>
      <c r="W485" s="170"/>
      <c r="AF485" s="171"/>
      <c r="AJ485" s="172"/>
      <c r="AK485" s="170"/>
      <c r="AM485" s="168"/>
      <c r="AN485" s="168"/>
      <c r="AV485" s="173"/>
      <c r="AW485" s="174"/>
      <c r="AY485" s="175"/>
      <c r="BB485" s="176"/>
      <c r="BC485" s="176"/>
      <c r="BD485" s="172"/>
      <c r="BE485" s="170"/>
    </row>
    <row r="486" spans="3:57">
      <c r="C486" s="167"/>
      <c r="R486" s="211"/>
      <c r="T486" s="168"/>
      <c r="U486" s="169"/>
      <c r="V486" s="170"/>
      <c r="W486" s="170"/>
      <c r="AF486" s="171"/>
      <c r="AJ486" s="172"/>
      <c r="AK486" s="170"/>
      <c r="AM486" s="168"/>
      <c r="AN486" s="168"/>
      <c r="AV486" s="173"/>
      <c r="AW486" s="174"/>
      <c r="AY486" s="175"/>
      <c r="BB486" s="176"/>
      <c r="BC486" s="176"/>
      <c r="BD486" s="172"/>
      <c r="BE486" s="170"/>
    </row>
    <row r="487" spans="3:57">
      <c r="C487" s="167"/>
      <c r="R487" s="211"/>
      <c r="T487" s="168"/>
      <c r="U487" s="169"/>
      <c r="V487" s="170"/>
      <c r="W487" s="170"/>
      <c r="AF487" s="171"/>
      <c r="AJ487" s="172"/>
      <c r="AK487" s="170"/>
      <c r="AM487" s="168"/>
      <c r="AN487" s="168"/>
      <c r="AV487" s="173"/>
      <c r="AW487" s="174"/>
      <c r="AY487" s="175"/>
      <c r="BB487" s="176"/>
      <c r="BC487" s="176"/>
      <c r="BD487" s="172"/>
      <c r="BE487" s="170"/>
    </row>
    <row r="488" spans="3:57">
      <c r="C488" s="167"/>
      <c r="R488" s="211"/>
      <c r="T488" s="168"/>
      <c r="U488" s="169"/>
      <c r="V488" s="170"/>
      <c r="W488" s="170"/>
      <c r="AF488" s="171"/>
      <c r="AJ488" s="172"/>
      <c r="AK488" s="170"/>
      <c r="AM488" s="168"/>
      <c r="AN488" s="168"/>
      <c r="AV488" s="173"/>
      <c r="AW488" s="174"/>
      <c r="AY488" s="175"/>
      <c r="BB488" s="176"/>
      <c r="BC488" s="176"/>
      <c r="BD488" s="172"/>
      <c r="BE488" s="170"/>
    </row>
    <row r="489" spans="3:57">
      <c r="C489" s="167"/>
      <c r="R489" s="211"/>
      <c r="T489" s="168"/>
      <c r="U489" s="169"/>
      <c r="V489" s="170"/>
      <c r="W489" s="170"/>
      <c r="AF489" s="171"/>
      <c r="AJ489" s="172"/>
      <c r="AK489" s="170"/>
      <c r="AM489" s="168"/>
      <c r="AN489" s="168"/>
      <c r="AV489" s="173"/>
      <c r="AW489" s="174"/>
      <c r="AY489" s="175"/>
      <c r="BB489" s="176"/>
      <c r="BC489" s="176"/>
      <c r="BD489" s="172"/>
      <c r="BE489" s="170"/>
    </row>
    <row r="490" spans="3:57">
      <c r="C490" s="167"/>
      <c r="R490" s="211"/>
      <c r="T490" s="168"/>
      <c r="U490" s="169"/>
      <c r="V490" s="170"/>
      <c r="W490" s="170"/>
      <c r="AF490" s="171"/>
      <c r="AJ490" s="172"/>
      <c r="AK490" s="170"/>
      <c r="AM490" s="168"/>
      <c r="AN490" s="168"/>
      <c r="AV490" s="173"/>
      <c r="AW490" s="174"/>
      <c r="AY490" s="175"/>
      <c r="BB490" s="176"/>
      <c r="BC490" s="176"/>
      <c r="BD490" s="172"/>
      <c r="BE490" s="170"/>
    </row>
    <row r="491" spans="3:57">
      <c r="C491" s="167"/>
      <c r="R491" s="211"/>
      <c r="T491" s="168"/>
      <c r="U491" s="169"/>
      <c r="V491" s="170"/>
      <c r="W491" s="170"/>
      <c r="AF491" s="171"/>
      <c r="AJ491" s="172"/>
      <c r="AK491" s="170"/>
      <c r="AM491" s="168"/>
      <c r="AN491" s="168"/>
      <c r="AV491" s="173"/>
      <c r="AW491" s="174"/>
      <c r="AY491" s="175"/>
      <c r="BB491" s="176"/>
      <c r="BC491" s="176"/>
      <c r="BD491" s="172"/>
      <c r="BE491" s="170"/>
    </row>
    <row r="492" spans="3:57">
      <c r="C492" s="167"/>
      <c r="R492" s="211"/>
      <c r="T492" s="168"/>
      <c r="U492" s="169"/>
      <c r="V492" s="170"/>
      <c r="W492" s="170"/>
      <c r="AF492" s="171"/>
      <c r="AJ492" s="172"/>
      <c r="AK492" s="170"/>
      <c r="AM492" s="168"/>
      <c r="AN492" s="168"/>
      <c r="AV492" s="173"/>
      <c r="AW492" s="174"/>
      <c r="AY492" s="175"/>
      <c r="BB492" s="176"/>
      <c r="BC492" s="176"/>
      <c r="BD492" s="172"/>
      <c r="BE492" s="170"/>
    </row>
    <row r="493" spans="3:57">
      <c r="C493" s="167"/>
      <c r="R493" s="211"/>
      <c r="T493" s="168"/>
      <c r="U493" s="169"/>
      <c r="V493" s="170"/>
      <c r="W493" s="170"/>
      <c r="AF493" s="171"/>
      <c r="AJ493" s="172"/>
      <c r="AK493" s="170"/>
      <c r="AM493" s="168"/>
      <c r="AN493" s="168"/>
      <c r="AV493" s="173"/>
      <c r="AW493" s="174"/>
      <c r="AY493" s="175"/>
      <c r="BB493" s="176"/>
      <c r="BC493" s="176"/>
      <c r="BD493" s="172"/>
      <c r="BE493" s="170"/>
    </row>
    <row r="494" spans="3:57">
      <c r="C494" s="167"/>
      <c r="R494" s="211"/>
      <c r="T494" s="168"/>
      <c r="U494" s="169"/>
      <c r="V494" s="170"/>
      <c r="W494" s="170"/>
      <c r="AF494" s="171"/>
      <c r="AJ494" s="172"/>
      <c r="AK494" s="170"/>
      <c r="AM494" s="168"/>
      <c r="AN494" s="168"/>
      <c r="AV494" s="173"/>
      <c r="AW494" s="174"/>
      <c r="AY494" s="175"/>
      <c r="BB494" s="176"/>
      <c r="BC494" s="176"/>
      <c r="BD494" s="172"/>
      <c r="BE494" s="170"/>
    </row>
    <row r="495" spans="3:57">
      <c r="C495" s="167"/>
      <c r="R495" s="211"/>
      <c r="T495" s="168"/>
      <c r="U495" s="169"/>
      <c r="V495" s="170"/>
      <c r="W495" s="170"/>
      <c r="AF495" s="171"/>
      <c r="AJ495" s="172"/>
      <c r="AK495" s="170"/>
      <c r="AM495" s="168"/>
      <c r="AN495" s="168"/>
      <c r="AV495" s="173"/>
      <c r="AW495" s="174"/>
      <c r="AY495" s="175"/>
      <c r="BB495" s="176"/>
      <c r="BC495" s="176"/>
      <c r="BD495" s="172"/>
      <c r="BE495" s="170"/>
    </row>
    <row r="496" spans="3:57">
      <c r="C496" s="167"/>
      <c r="R496" s="211"/>
      <c r="T496" s="168"/>
      <c r="U496" s="169"/>
      <c r="V496" s="170"/>
      <c r="W496" s="170"/>
      <c r="AF496" s="171"/>
      <c r="AJ496" s="172"/>
      <c r="AK496" s="170"/>
      <c r="AM496" s="168"/>
      <c r="AN496" s="168"/>
      <c r="AV496" s="173"/>
      <c r="AW496" s="174"/>
      <c r="AY496" s="175"/>
      <c r="BB496" s="176"/>
      <c r="BC496" s="176"/>
      <c r="BD496" s="172"/>
      <c r="BE496" s="170"/>
    </row>
    <row r="497" spans="3:57">
      <c r="C497" s="167"/>
      <c r="R497" s="211"/>
      <c r="T497" s="168"/>
      <c r="U497" s="169"/>
      <c r="V497" s="170"/>
      <c r="W497" s="170"/>
      <c r="AF497" s="171"/>
      <c r="AJ497" s="172"/>
      <c r="AK497" s="170"/>
      <c r="AM497" s="168"/>
      <c r="AN497" s="168"/>
      <c r="AV497" s="173"/>
      <c r="AW497" s="174"/>
      <c r="AY497" s="175"/>
      <c r="BB497" s="176"/>
      <c r="BC497" s="176"/>
      <c r="BD497" s="172"/>
      <c r="BE497" s="170"/>
    </row>
    <row r="498" spans="3:57">
      <c r="C498" s="167"/>
      <c r="R498" s="211"/>
      <c r="T498" s="168"/>
      <c r="U498" s="169"/>
      <c r="V498" s="170"/>
      <c r="W498" s="170"/>
      <c r="AF498" s="171"/>
      <c r="AJ498" s="172"/>
      <c r="AK498" s="170"/>
      <c r="AM498" s="168"/>
      <c r="AN498" s="168"/>
      <c r="AV498" s="173"/>
      <c r="AW498" s="174"/>
      <c r="AY498" s="175"/>
      <c r="BB498" s="176"/>
      <c r="BC498" s="176"/>
      <c r="BD498" s="172"/>
      <c r="BE498" s="170"/>
    </row>
    <row r="499" spans="3:57">
      <c r="C499" s="167"/>
      <c r="R499" s="211"/>
      <c r="T499" s="168"/>
      <c r="U499" s="169"/>
      <c r="V499" s="170"/>
      <c r="W499" s="170"/>
      <c r="AF499" s="171"/>
      <c r="AJ499" s="172"/>
      <c r="AK499" s="170"/>
      <c r="AM499" s="168"/>
      <c r="AN499" s="168"/>
      <c r="AV499" s="173"/>
      <c r="AW499" s="174"/>
      <c r="AY499" s="175"/>
      <c r="BB499" s="176"/>
      <c r="BC499" s="176"/>
      <c r="BD499" s="172"/>
      <c r="BE499" s="170"/>
    </row>
    <row r="500" spans="3:57">
      <c r="C500" s="167"/>
      <c r="R500" s="211"/>
      <c r="T500" s="168"/>
      <c r="U500" s="169"/>
      <c r="V500" s="170"/>
      <c r="W500" s="170"/>
      <c r="AF500" s="171"/>
      <c r="AJ500" s="172"/>
      <c r="AK500" s="170"/>
      <c r="AM500" s="168"/>
      <c r="AN500" s="168"/>
      <c r="AV500" s="173"/>
      <c r="AW500" s="174"/>
      <c r="AY500" s="175"/>
      <c r="BB500" s="176"/>
      <c r="BC500" s="176"/>
      <c r="BD500" s="172"/>
      <c r="BE500" s="170"/>
    </row>
    <row r="501" spans="3:57">
      <c r="C501" s="167"/>
      <c r="R501" s="211"/>
      <c r="T501" s="168"/>
      <c r="U501" s="169"/>
      <c r="V501" s="170"/>
      <c r="W501" s="170"/>
      <c r="AF501" s="171"/>
      <c r="AJ501" s="172"/>
      <c r="AK501" s="170"/>
      <c r="AM501" s="168"/>
      <c r="AN501" s="168"/>
      <c r="AV501" s="173"/>
      <c r="AW501" s="174"/>
      <c r="AY501" s="175"/>
      <c r="BB501" s="176"/>
      <c r="BC501" s="176"/>
      <c r="BD501" s="172"/>
      <c r="BE501" s="170"/>
    </row>
    <row r="502" spans="3:57">
      <c r="C502" s="167"/>
      <c r="R502" s="211"/>
      <c r="T502" s="168"/>
      <c r="U502" s="169"/>
      <c r="V502" s="170"/>
      <c r="W502" s="170"/>
      <c r="AF502" s="171"/>
      <c r="AJ502" s="172"/>
      <c r="AK502" s="170"/>
      <c r="AM502" s="168"/>
      <c r="AN502" s="168"/>
      <c r="AV502" s="173"/>
      <c r="AW502" s="174"/>
      <c r="AY502" s="175"/>
      <c r="BB502" s="176"/>
      <c r="BC502" s="176"/>
      <c r="BD502" s="172"/>
      <c r="BE502" s="170"/>
    </row>
    <row r="503" spans="3:57">
      <c r="C503" s="167"/>
      <c r="R503" s="211"/>
      <c r="T503" s="168"/>
      <c r="U503" s="169"/>
      <c r="V503" s="170"/>
      <c r="W503" s="170"/>
      <c r="AF503" s="171"/>
      <c r="AJ503" s="172"/>
      <c r="AK503" s="170"/>
      <c r="AM503" s="168"/>
      <c r="AN503" s="168"/>
      <c r="AV503" s="173"/>
      <c r="AW503" s="174"/>
      <c r="AY503" s="175"/>
      <c r="BB503" s="176"/>
      <c r="BC503" s="176"/>
      <c r="BD503" s="172"/>
      <c r="BE503" s="170"/>
    </row>
    <row r="504" spans="3:57">
      <c r="C504" s="167"/>
      <c r="R504" s="211"/>
      <c r="T504" s="168"/>
      <c r="U504" s="169"/>
      <c r="V504" s="170"/>
      <c r="W504" s="170"/>
      <c r="AF504" s="171"/>
      <c r="AJ504" s="172"/>
      <c r="AK504" s="170"/>
      <c r="AM504" s="168"/>
      <c r="AN504" s="168"/>
      <c r="AV504" s="173"/>
      <c r="AW504" s="174"/>
      <c r="AY504" s="175"/>
      <c r="BB504" s="176"/>
      <c r="BC504" s="176"/>
      <c r="BD504" s="172"/>
      <c r="BE504" s="170"/>
    </row>
    <row r="505" spans="3:57">
      <c r="C505" s="167"/>
      <c r="R505" s="211"/>
      <c r="T505" s="168"/>
      <c r="U505" s="169"/>
      <c r="V505" s="170"/>
      <c r="W505" s="170"/>
      <c r="AF505" s="171"/>
      <c r="AJ505" s="172"/>
      <c r="AK505" s="170"/>
      <c r="AM505" s="168"/>
      <c r="AN505" s="168"/>
      <c r="AV505" s="173"/>
      <c r="AW505" s="174"/>
      <c r="AY505" s="175"/>
      <c r="BB505" s="176"/>
      <c r="BC505" s="176"/>
      <c r="BD505" s="172"/>
      <c r="BE505" s="170"/>
    </row>
    <row r="506" spans="3:57">
      <c r="C506" s="167"/>
      <c r="R506" s="211"/>
      <c r="T506" s="168"/>
      <c r="U506" s="169"/>
      <c r="V506" s="170"/>
      <c r="W506" s="170"/>
      <c r="AF506" s="171"/>
      <c r="AJ506" s="172"/>
      <c r="AK506" s="170"/>
      <c r="AM506" s="168"/>
      <c r="AN506" s="168"/>
      <c r="AV506" s="173"/>
      <c r="AW506" s="174"/>
      <c r="AY506" s="175"/>
      <c r="BB506" s="176"/>
      <c r="BC506" s="176"/>
      <c r="BD506" s="172"/>
      <c r="BE506" s="170"/>
    </row>
    <row r="507" spans="3:57">
      <c r="C507" s="167"/>
      <c r="R507" s="211"/>
      <c r="T507" s="168"/>
      <c r="U507" s="169"/>
      <c r="V507" s="170"/>
      <c r="W507" s="170"/>
      <c r="AF507" s="171"/>
      <c r="AJ507" s="172"/>
      <c r="AK507" s="170"/>
      <c r="AM507" s="168"/>
      <c r="AN507" s="168"/>
      <c r="AV507" s="173"/>
      <c r="AW507" s="174"/>
      <c r="AY507" s="175"/>
      <c r="BB507" s="176"/>
      <c r="BC507" s="176"/>
      <c r="BD507" s="172"/>
      <c r="BE507" s="170"/>
    </row>
    <row r="508" spans="3:57">
      <c r="C508" s="167"/>
      <c r="R508" s="211"/>
      <c r="T508" s="168"/>
      <c r="U508" s="169"/>
      <c r="V508" s="170"/>
      <c r="W508" s="170"/>
      <c r="AF508" s="171"/>
      <c r="AJ508" s="172"/>
      <c r="AK508" s="170"/>
      <c r="AM508" s="168"/>
      <c r="AN508" s="168"/>
      <c r="AV508" s="173"/>
      <c r="AW508" s="174"/>
      <c r="AY508" s="175"/>
      <c r="BB508" s="176"/>
      <c r="BC508" s="176"/>
      <c r="BD508" s="172"/>
      <c r="BE508" s="170"/>
    </row>
    <row r="509" spans="3:57">
      <c r="C509" s="167"/>
      <c r="R509" s="211"/>
      <c r="T509" s="168"/>
      <c r="U509" s="169"/>
      <c r="V509" s="170"/>
      <c r="W509" s="170"/>
      <c r="AF509" s="171"/>
      <c r="AJ509" s="172"/>
      <c r="AK509" s="170"/>
      <c r="AM509" s="168"/>
      <c r="AN509" s="168"/>
      <c r="AV509" s="173"/>
      <c r="AW509" s="174"/>
      <c r="AY509" s="175"/>
      <c r="BB509" s="176"/>
      <c r="BC509" s="176"/>
      <c r="BD509" s="172"/>
      <c r="BE509" s="170"/>
    </row>
    <row r="510" spans="3:57">
      <c r="C510" s="167"/>
      <c r="R510" s="211"/>
      <c r="T510" s="168"/>
      <c r="U510" s="169"/>
      <c r="V510" s="170"/>
      <c r="W510" s="170"/>
      <c r="AF510" s="171"/>
      <c r="AJ510" s="172"/>
      <c r="AK510" s="170"/>
      <c r="AM510" s="168"/>
      <c r="AN510" s="168"/>
      <c r="AV510" s="173"/>
      <c r="AW510" s="174"/>
      <c r="AY510" s="175"/>
      <c r="BB510" s="176"/>
      <c r="BC510" s="176"/>
      <c r="BD510" s="172"/>
      <c r="BE510" s="170"/>
    </row>
    <row r="511" spans="3:57">
      <c r="C511" s="167"/>
      <c r="R511" s="211"/>
      <c r="T511" s="168"/>
      <c r="U511" s="169"/>
      <c r="V511" s="170"/>
      <c r="W511" s="170"/>
      <c r="AF511" s="171"/>
      <c r="AJ511" s="172"/>
      <c r="AK511" s="170"/>
      <c r="AM511" s="168"/>
      <c r="AN511" s="168"/>
      <c r="AV511" s="173"/>
      <c r="AW511" s="174"/>
      <c r="AY511" s="175"/>
      <c r="BB511" s="176"/>
      <c r="BC511" s="176"/>
      <c r="BD511" s="172"/>
      <c r="BE511" s="170"/>
    </row>
    <row r="512" spans="3:57">
      <c r="C512" s="167"/>
      <c r="R512" s="211"/>
      <c r="T512" s="168"/>
      <c r="U512" s="169"/>
      <c r="V512" s="170"/>
      <c r="W512" s="170"/>
      <c r="AF512" s="171"/>
      <c r="AJ512" s="172"/>
      <c r="AK512" s="170"/>
      <c r="AM512" s="168"/>
      <c r="AN512" s="168"/>
      <c r="AV512" s="173"/>
      <c r="AW512" s="174"/>
      <c r="AY512" s="175"/>
      <c r="BB512" s="176"/>
      <c r="BC512" s="176"/>
      <c r="BD512" s="172"/>
      <c r="BE512" s="170"/>
    </row>
    <row r="513" spans="3:57">
      <c r="C513" s="167"/>
      <c r="R513" s="211"/>
      <c r="T513" s="168"/>
      <c r="U513" s="169"/>
      <c r="V513" s="170"/>
      <c r="W513" s="170"/>
      <c r="AF513" s="171"/>
      <c r="AJ513" s="172"/>
      <c r="AK513" s="170"/>
      <c r="AM513" s="168"/>
      <c r="AN513" s="168"/>
      <c r="AV513" s="173"/>
      <c r="AW513" s="174"/>
      <c r="AY513" s="175"/>
      <c r="BB513" s="176"/>
      <c r="BC513" s="176"/>
      <c r="BD513" s="172"/>
      <c r="BE513" s="170"/>
    </row>
    <row r="514" spans="3:57">
      <c r="C514" s="167"/>
      <c r="R514" s="211"/>
      <c r="T514" s="168"/>
      <c r="U514" s="169"/>
      <c r="V514" s="170"/>
      <c r="W514" s="170"/>
      <c r="AF514" s="171"/>
      <c r="AJ514" s="172"/>
      <c r="AK514" s="170"/>
      <c r="AM514" s="168"/>
      <c r="AN514" s="168"/>
      <c r="AV514" s="173"/>
      <c r="AW514" s="174"/>
      <c r="AY514" s="175"/>
      <c r="BB514" s="176"/>
      <c r="BC514" s="176"/>
      <c r="BD514" s="172"/>
      <c r="BE514" s="170"/>
    </row>
    <row r="515" spans="3:57">
      <c r="C515" s="167"/>
      <c r="R515" s="211"/>
      <c r="T515" s="168"/>
      <c r="U515" s="169"/>
      <c r="V515" s="170"/>
      <c r="W515" s="170"/>
      <c r="AF515" s="171"/>
      <c r="AJ515" s="172"/>
      <c r="AK515" s="170"/>
      <c r="AM515" s="168"/>
      <c r="AN515" s="168"/>
      <c r="AV515" s="173"/>
      <c r="AW515" s="174"/>
      <c r="AY515" s="175"/>
      <c r="BB515" s="176"/>
      <c r="BC515" s="176"/>
      <c r="BD515" s="172"/>
      <c r="BE515" s="170"/>
    </row>
    <row r="516" spans="3:57">
      <c r="C516" s="167"/>
      <c r="R516" s="211"/>
      <c r="T516" s="168"/>
      <c r="U516" s="169"/>
      <c r="V516" s="170"/>
      <c r="W516" s="170"/>
      <c r="AF516" s="171"/>
      <c r="AJ516" s="172"/>
      <c r="AK516" s="170"/>
      <c r="AM516" s="168"/>
      <c r="AN516" s="168"/>
      <c r="AV516" s="173"/>
      <c r="AW516" s="174"/>
      <c r="AY516" s="175"/>
      <c r="BB516" s="176"/>
      <c r="BC516" s="176"/>
      <c r="BD516" s="172"/>
      <c r="BE516" s="170"/>
    </row>
    <row r="517" spans="3:57">
      <c r="C517" s="167"/>
      <c r="R517" s="211"/>
      <c r="T517" s="168"/>
      <c r="U517" s="169"/>
      <c r="V517" s="170"/>
      <c r="W517" s="170"/>
      <c r="AF517" s="171"/>
      <c r="AJ517" s="172"/>
      <c r="AK517" s="170"/>
      <c r="AM517" s="168"/>
      <c r="AN517" s="168"/>
      <c r="AV517" s="173"/>
      <c r="AW517" s="174"/>
      <c r="AY517" s="175"/>
      <c r="BB517" s="176"/>
      <c r="BC517" s="176"/>
      <c r="BD517" s="172"/>
      <c r="BE517" s="170"/>
    </row>
    <row r="518" spans="3:57">
      <c r="C518" s="167"/>
      <c r="R518" s="211"/>
      <c r="T518" s="168"/>
      <c r="U518" s="169"/>
      <c r="V518" s="170"/>
      <c r="W518" s="170"/>
      <c r="AF518" s="171"/>
      <c r="AJ518" s="172"/>
      <c r="AK518" s="170"/>
      <c r="AM518" s="168"/>
      <c r="AN518" s="168"/>
      <c r="AV518" s="173"/>
      <c r="AW518" s="174"/>
      <c r="AY518" s="175"/>
      <c r="BB518" s="176"/>
      <c r="BC518" s="176"/>
      <c r="BD518" s="172"/>
      <c r="BE518" s="170"/>
    </row>
    <row r="519" spans="3:57">
      <c r="C519" s="167"/>
      <c r="R519" s="211"/>
      <c r="T519" s="168"/>
      <c r="U519" s="169"/>
      <c r="V519" s="170"/>
      <c r="W519" s="170"/>
      <c r="AF519" s="171"/>
      <c r="AJ519" s="172"/>
      <c r="AK519" s="170"/>
      <c r="AM519" s="168"/>
      <c r="AN519" s="168"/>
      <c r="AV519" s="173"/>
      <c r="AW519" s="174"/>
      <c r="AY519" s="175"/>
      <c r="BB519" s="176"/>
      <c r="BC519" s="176"/>
      <c r="BD519" s="172"/>
      <c r="BE519" s="170"/>
    </row>
    <row r="520" spans="3:57">
      <c r="C520" s="167"/>
      <c r="R520" s="211"/>
      <c r="T520" s="168"/>
      <c r="U520" s="169"/>
      <c r="V520" s="170"/>
      <c r="W520" s="170"/>
      <c r="AF520" s="171"/>
      <c r="AJ520" s="172"/>
      <c r="AK520" s="170"/>
      <c r="AM520" s="168"/>
      <c r="AN520" s="168"/>
      <c r="AV520" s="173"/>
      <c r="AW520" s="174"/>
      <c r="AY520" s="175"/>
      <c r="BB520" s="176"/>
      <c r="BC520" s="176"/>
      <c r="BD520" s="172"/>
      <c r="BE520" s="170"/>
    </row>
    <row r="521" spans="3:57">
      <c r="C521" s="167"/>
      <c r="R521" s="211"/>
      <c r="T521" s="168"/>
      <c r="U521" s="169"/>
      <c r="V521" s="170"/>
      <c r="W521" s="170"/>
      <c r="AF521" s="171"/>
      <c r="AJ521" s="172"/>
      <c r="AK521" s="170"/>
      <c r="AM521" s="168"/>
      <c r="AN521" s="168"/>
      <c r="AV521" s="173"/>
      <c r="AW521" s="174"/>
      <c r="AY521" s="175"/>
      <c r="BB521" s="176"/>
      <c r="BC521" s="176"/>
      <c r="BD521" s="172"/>
      <c r="BE521" s="170"/>
    </row>
    <row r="522" spans="3:57">
      <c r="C522" s="167"/>
      <c r="R522" s="211"/>
      <c r="T522" s="168"/>
      <c r="U522" s="169"/>
      <c r="V522" s="170"/>
      <c r="W522" s="170"/>
      <c r="AF522" s="171"/>
      <c r="AJ522" s="172"/>
      <c r="AK522" s="170"/>
      <c r="AM522" s="168"/>
      <c r="AN522" s="168"/>
      <c r="AV522" s="173"/>
      <c r="AW522" s="174"/>
      <c r="AY522" s="175"/>
      <c r="BB522" s="176"/>
      <c r="BC522" s="176"/>
      <c r="BD522" s="172"/>
      <c r="BE522" s="170"/>
    </row>
    <row r="523" spans="3:57">
      <c r="C523" s="167"/>
      <c r="R523" s="211"/>
      <c r="T523" s="168"/>
      <c r="U523" s="169"/>
      <c r="V523" s="170"/>
      <c r="W523" s="170"/>
      <c r="AF523" s="171"/>
      <c r="AJ523" s="172"/>
      <c r="AK523" s="170"/>
      <c r="AM523" s="168"/>
      <c r="AN523" s="168"/>
      <c r="AV523" s="173"/>
      <c r="AW523" s="174"/>
      <c r="AY523" s="175"/>
      <c r="BB523" s="176"/>
      <c r="BC523" s="176"/>
      <c r="BD523" s="172"/>
      <c r="BE523" s="170"/>
    </row>
    <row r="524" spans="3:57">
      <c r="C524" s="167"/>
      <c r="R524" s="211"/>
      <c r="T524" s="168"/>
      <c r="U524" s="169"/>
      <c r="V524" s="170"/>
      <c r="W524" s="170"/>
      <c r="AF524" s="171"/>
      <c r="AJ524" s="172"/>
      <c r="AK524" s="170"/>
      <c r="AM524" s="168"/>
      <c r="AN524" s="168"/>
      <c r="AV524" s="173"/>
      <c r="AW524" s="174"/>
      <c r="AY524" s="175"/>
      <c r="BB524" s="176"/>
      <c r="BC524" s="176"/>
      <c r="BD524" s="172"/>
      <c r="BE524" s="170"/>
    </row>
    <row r="525" spans="3:57">
      <c r="C525" s="167"/>
      <c r="R525" s="211"/>
      <c r="T525" s="168"/>
      <c r="U525" s="169"/>
      <c r="V525" s="170"/>
      <c r="W525" s="170"/>
      <c r="AF525" s="171"/>
      <c r="AJ525" s="172"/>
      <c r="AK525" s="170"/>
      <c r="AM525" s="168"/>
      <c r="AN525" s="168"/>
      <c r="AV525" s="173"/>
      <c r="AW525" s="174"/>
      <c r="AY525" s="175"/>
      <c r="BB525" s="176"/>
      <c r="BC525" s="176"/>
      <c r="BD525" s="172"/>
      <c r="BE525" s="170"/>
    </row>
    <row r="526" spans="3:57">
      <c r="C526" s="167"/>
      <c r="R526" s="211"/>
      <c r="T526" s="168"/>
      <c r="U526" s="169"/>
      <c r="V526" s="170"/>
      <c r="W526" s="170"/>
      <c r="AF526" s="171"/>
      <c r="AJ526" s="172"/>
      <c r="AK526" s="170"/>
      <c r="AM526" s="168"/>
      <c r="AN526" s="168"/>
      <c r="AV526" s="173"/>
      <c r="AW526" s="174"/>
      <c r="AY526" s="175"/>
      <c r="BB526" s="176"/>
      <c r="BC526" s="176"/>
      <c r="BD526" s="172"/>
      <c r="BE526" s="170"/>
    </row>
    <row r="527" spans="3:57">
      <c r="C527" s="167"/>
      <c r="R527" s="211"/>
      <c r="T527" s="168"/>
      <c r="U527" s="169"/>
      <c r="V527" s="170"/>
      <c r="W527" s="170"/>
      <c r="AF527" s="171"/>
      <c r="AJ527" s="172"/>
      <c r="AK527" s="170"/>
      <c r="AM527" s="168"/>
      <c r="AN527" s="168"/>
      <c r="AV527" s="173"/>
      <c r="AW527" s="174"/>
      <c r="AY527" s="175"/>
      <c r="BB527" s="176"/>
      <c r="BC527" s="176"/>
      <c r="BD527" s="172"/>
      <c r="BE527" s="170"/>
    </row>
    <row r="528" spans="3:57">
      <c r="C528" s="167"/>
      <c r="R528" s="211"/>
      <c r="T528" s="168"/>
      <c r="U528" s="169"/>
      <c r="V528" s="170"/>
      <c r="W528" s="170"/>
      <c r="AF528" s="171"/>
      <c r="AJ528" s="172"/>
      <c r="AK528" s="170"/>
      <c r="AM528" s="168"/>
      <c r="AN528" s="168"/>
      <c r="AV528" s="173"/>
      <c r="AW528" s="174"/>
      <c r="AY528" s="175"/>
      <c r="BB528" s="176"/>
      <c r="BC528" s="176"/>
      <c r="BD528" s="172"/>
      <c r="BE528" s="170"/>
    </row>
    <row r="529" spans="3:57">
      <c r="C529" s="167"/>
      <c r="R529" s="211"/>
      <c r="T529" s="168"/>
      <c r="U529" s="169"/>
      <c r="V529" s="170"/>
      <c r="W529" s="170"/>
      <c r="AF529" s="171"/>
      <c r="AJ529" s="172"/>
      <c r="AK529" s="170"/>
      <c r="AM529" s="168"/>
      <c r="AN529" s="168"/>
      <c r="AV529" s="173"/>
      <c r="AW529" s="174"/>
      <c r="AY529" s="175"/>
      <c r="BB529" s="176"/>
      <c r="BC529" s="176"/>
      <c r="BD529" s="172"/>
      <c r="BE529" s="170"/>
    </row>
    <row r="530" spans="3:57">
      <c r="C530" s="167"/>
      <c r="R530" s="211"/>
      <c r="T530" s="168"/>
      <c r="U530" s="169"/>
      <c r="V530" s="170"/>
      <c r="W530" s="170"/>
      <c r="AF530" s="171"/>
      <c r="AJ530" s="172"/>
      <c r="AK530" s="170"/>
      <c r="AM530" s="168"/>
      <c r="AN530" s="168"/>
      <c r="AV530" s="173"/>
      <c r="AW530" s="174"/>
      <c r="AY530" s="175"/>
      <c r="BB530" s="176"/>
      <c r="BC530" s="176"/>
      <c r="BD530" s="172"/>
      <c r="BE530" s="170"/>
    </row>
    <row r="531" spans="3:57">
      <c r="C531" s="167"/>
      <c r="R531" s="211"/>
      <c r="T531" s="168"/>
      <c r="U531" s="169"/>
      <c r="V531" s="170"/>
      <c r="W531" s="170"/>
      <c r="AF531" s="171"/>
      <c r="AJ531" s="172"/>
      <c r="AK531" s="170"/>
      <c r="AM531" s="168"/>
      <c r="AN531" s="168"/>
      <c r="AV531" s="173"/>
      <c r="AW531" s="174"/>
      <c r="AY531" s="175"/>
      <c r="BB531" s="176"/>
      <c r="BC531" s="176"/>
      <c r="BD531" s="172"/>
      <c r="BE531" s="170"/>
    </row>
    <row r="532" spans="3:57">
      <c r="C532" s="167"/>
      <c r="R532" s="211"/>
      <c r="T532" s="168"/>
      <c r="U532" s="169"/>
      <c r="V532" s="170"/>
      <c r="W532" s="170"/>
      <c r="AF532" s="171"/>
      <c r="AJ532" s="172"/>
      <c r="AK532" s="170"/>
      <c r="AM532" s="168"/>
      <c r="AN532" s="168"/>
      <c r="AV532" s="173"/>
      <c r="AW532" s="174"/>
      <c r="AY532" s="175"/>
      <c r="BB532" s="176"/>
      <c r="BC532" s="176"/>
      <c r="BD532" s="172"/>
      <c r="BE532" s="170"/>
    </row>
    <row r="533" spans="3:57">
      <c r="C533" s="167"/>
      <c r="R533" s="211"/>
      <c r="T533" s="168"/>
      <c r="U533" s="169"/>
      <c r="V533" s="170"/>
      <c r="W533" s="170"/>
      <c r="AF533" s="171"/>
      <c r="AJ533" s="172"/>
      <c r="AK533" s="170"/>
      <c r="AM533" s="168"/>
      <c r="AN533" s="168"/>
      <c r="AV533" s="173"/>
      <c r="AW533" s="174"/>
      <c r="AY533" s="175"/>
      <c r="BB533" s="176"/>
      <c r="BC533" s="176"/>
      <c r="BD533" s="172"/>
      <c r="BE533" s="170"/>
    </row>
    <row r="534" spans="3:57">
      <c r="C534" s="167"/>
      <c r="R534" s="211"/>
      <c r="T534" s="168"/>
      <c r="U534" s="169"/>
      <c r="V534" s="170"/>
      <c r="W534" s="170"/>
      <c r="AF534" s="171"/>
      <c r="AJ534" s="172"/>
      <c r="AK534" s="170"/>
      <c r="AM534" s="168"/>
      <c r="AN534" s="168"/>
      <c r="AV534" s="173"/>
      <c r="AW534" s="174"/>
      <c r="AY534" s="175"/>
      <c r="BB534" s="176"/>
      <c r="BC534" s="176"/>
      <c r="BD534" s="172"/>
      <c r="BE534" s="170"/>
    </row>
    <row r="535" spans="3:57">
      <c r="C535" s="167"/>
      <c r="R535" s="211"/>
      <c r="T535" s="168"/>
      <c r="U535" s="169"/>
      <c r="V535" s="170"/>
      <c r="W535" s="170"/>
      <c r="AF535" s="171"/>
      <c r="AJ535" s="172"/>
      <c r="AK535" s="170"/>
      <c r="AM535" s="168"/>
      <c r="AN535" s="168"/>
      <c r="AV535" s="173"/>
      <c r="AW535" s="174"/>
      <c r="AY535" s="175"/>
      <c r="BB535" s="176"/>
      <c r="BC535" s="176"/>
      <c r="BD535" s="172"/>
      <c r="BE535" s="170"/>
    </row>
    <row r="536" spans="3:57">
      <c r="C536" s="167"/>
      <c r="R536" s="211"/>
      <c r="T536" s="168"/>
      <c r="U536" s="169"/>
      <c r="V536" s="170"/>
      <c r="W536" s="170"/>
      <c r="AF536" s="171"/>
      <c r="AJ536" s="172"/>
      <c r="AK536" s="170"/>
      <c r="AM536" s="168"/>
      <c r="AN536" s="168"/>
      <c r="AV536" s="173"/>
      <c r="AW536" s="174"/>
      <c r="AY536" s="175"/>
      <c r="BB536" s="176"/>
      <c r="BC536" s="176"/>
      <c r="BD536" s="172"/>
      <c r="BE536" s="170"/>
    </row>
    <row r="537" spans="3:57">
      <c r="C537" s="167"/>
      <c r="R537" s="211"/>
      <c r="T537" s="168"/>
      <c r="U537" s="169"/>
      <c r="V537" s="170"/>
      <c r="W537" s="170"/>
      <c r="AF537" s="171"/>
      <c r="AJ537" s="172"/>
      <c r="AK537" s="170"/>
      <c r="AM537" s="168"/>
      <c r="AN537" s="168"/>
      <c r="AV537" s="173"/>
      <c r="AW537" s="174"/>
      <c r="AY537" s="175"/>
      <c r="BB537" s="176"/>
      <c r="BC537" s="176"/>
      <c r="BD537" s="172"/>
      <c r="BE537" s="170"/>
    </row>
    <row r="538" spans="3:57">
      <c r="C538" s="167"/>
      <c r="R538" s="211"/>
      <c r="T538" s="168"/>
      <c r="U538" s="169"/>
      <c r="V538" s="170"/>
      <c r="W538" s="170"/>
      <c r="AF538" s="171"/>
      <c r="AJ538" s="172"/>
      <c r="AK538" s="170"/>
      <c r="AM538" s="168"/>
      <c r="AN538" s="168"/>
      <c r="AV538" s="173"/>
      <c r="AW538" s="174"/>
      <c r="AY538" s="175"/>
      <c r="BB538" s="176"/>
      <c r="BC538" s="176"/>
      <c r="BD538" s="172"/>
      <c r="BE538" s="170"/>
    </row>
    <row r="539" spans="3:57">
      <c r="C539" s="167"/>
      <c r="R539" s="211"/>
      <c r="T539" s="168"/>
      <c r="U539" s="169"/>
      <c r="V539" s="170"/>
      <c r="W539" s="170"/>
      <c r="AF539" s="171"/>
      <c r="AJ539" s="172"/>
      <c r="AK539" s="170"/>
      <c r="AM539" s="168"/>
      <c r="AN539" s="168"/>
      <c r="AV539" s="173"/>
      <c r="AW539" s="174"/>
      <c r="AY539" s="175"/>
      <c r="BB539" s="176"/>
      <c r="BC539" s="176"/>
      <c r="BD539" s="172"/>
      <c r="BE539" s="170"/>
    </row>
    <row r="540" spans="3:57">
      <c r="C540" s="167"/>
      <c r="R540" s="211"/>
      <c r="T540" s="168"/>
      <c r="U540" s="169"/>
      <c r="V540" s="170"/>
      <c r="W540" s="170"/>
      <c r="AF540" s="171"/>
      <c r="AJ540" s="172"/>
      <c r="AK540" s="170"/>
      <c r="AM540" s="168"/>
      <c r="AN540" s="168"/>
      <c r="AV540" s="173"/>
      <c r="AW540" s="174"/>
      <c r="AY540" s="175"/>
      <c r="BB540" s="176"/>
      <c r="BC540" s="176"/>
      <c r="BD540" s="172"/>
      <c r="BE540" s="170"/>
    </row>
    <row r="541" spans="3:57">
      <c r="C541" s="167"/>
      <c r="R541" s="211"/>
      <c r="T541" s="168"/>
      <c r="U541" s="169"/>
      <c r="V541" s="170"/>
      <c r="W541" s="170"/>
      <c r="AF541" s="171"/>
      <c r="AJ541" s="172"/>
      <c r="AK541" s="170"/>
      <c r="AM541" s="168"/>
      <c r="AN541" s="168"/>
      <c r="AV541" s="173"/>
      <c r="AW541" s="174"/>
      <c r="AY541" s="175"/>
      <c r="BB541" s="176"/>
      <c r="BC541" s="176"/>
      <c r="BD541" s="172"/>
      <c r="BE541" s="170"/>
    </row>
    <row r="542" spans="3:57">
      <c r="C542" s="167"/>
      <c r="R542" s="211"/>
      <c r="T542" s="168"/>
      <c r="U542" s="169"/>
      <c r="V542" s="170"/>
      <c r="W542" s="170"/>
      <c r="AF542" s="171"/>
      <c r="AJ542" s="172"/>
      <c r="AK542" s="170"/>
      <c r="AM542" s="168"/>
      <c r="AN542" s="168"/>
      <c r="AV542" s="173"/>
      <c r="AW542" s="174"/>
      <c r="AY542" s="175"/>
      <c r="BB542" s="176"/>
      <c r="BC542" s="176"/>
      <c r="BD542" s="172"/>
      <c r="BE542" s="170"/>
    </row>
    <row r="543" spans="3:57">
      <c r="C543" s="167"/>
      <c r="R543" s="211"/>
      <c r="T543" s="168"/>
      <c r="U543" s="169"/>
      <c r="V543" s="170"/>
      <c r="W543" s="170"/>
      <c r="AF543" s="171"/>
      <c r="AJ543" s="172"/>
      <c r="AK543" s="170"/>
      <c r="AM543" s="168"/>
      <c r="AN543" s="168"/>
      <c r="AV543" s="173"/>
      <c r="AW543" s="174"/>
      <c r="AY543" s="175"/>
      <c r="BB543" s="176"/>
      <c r="BC543" s="176"/>
      <c r="BD543" s="172"/>
      <c r="BE543" s="170"/>
    </row>
    <row r="544" spans="3:57">
      <c r="C544" s="167"/>
      <c r="R544" s="211"/>
      <c r="T544" s="168"/>
      <c r="U544" s="169"/>
      <c r="V544" s="170"/>
      <c r="W544" s="170"/>
      <c r="AF544" s="171"/>
      <c r="AJ544" s="172"/>
      <c r="AK544" s="170"/>
      <c r="AM544" s="168"/>
      <c r="AN544" s="168"/>
      <c r="AV544" s="173"/>
      <c r="AW544" s="174"/>
      <c r="AY544" s="175"/>
      <c r="BB544" s="176"/>
      <c r="BC544" s="176"/>
      <c r="BD544" s="172"/>
      <c r="BE544" s="170"/>
    </row>
    <row r="545" spans="3:57">
      <c r="C545" s="167"/>
      <c r="R545" s="211"/>
      <c r="T545" s="168"/>
      <c r="U545" s="169"/>
      <c r="V545" s="170"/>
      <c r="W545" s="170"/>
      <c r="AF545" s="171"/>
      <c r="AJ545" s="172"/>
      <c r="AK545" s="170"/>
      <c r="AM545" s="168"/>
      <c r="AN545" s="168"/>
      <c r="AV545" s="173"/>
      <c r="AW545" s="174"/>
      <c r="AY545" s="175"/>
      <c r="BB545" s="176"/>
      <c r="BC545" s="176"/>
      <c r="BD545" s="172"/>
      <c r="BE545" s="170"/>
    </row>
    <row r="546" spans="3:57">
      <c r="C546" s="167"/>
      <c r="R546" s="211"/>
      <c r="T546" s="168"/>
      <c r="U546" s="169"/>
      <c r="V546" s="170"/>
      <c r="W546" s="170"/>
      <c r="AF546" s="171"/>
      <c r="AJ546" s="172"/>
      <c r="AK546" s="170"/>
      <c r="AM546" s="168"/>
      <c r="AN546" s="168"/>
      <c r="AV546" s="173"/>
      <c r="AW546" s="174"/>
      <c r="AY546" s="175"/>
      <c r="BB546" s="176"/>
      <c r="BC546" s="176"/>
      <c r="BD546" s="172"/>
      <c r="BE546" s="170"/>
    </row>
    <row r="547" spans="3:57">
      <c r="C547" s="167"/>
      <c r="R547" s="211"/>
      <c r="T547" s="168"/>
      <c r="U547" s="169"/>
      <c r="V547" s="170"/>
      <c r="W547" s="170"/>
      <c r="AF547" s="171"/>
      <c r="AJ547" s="172"/>
      <c r="AK547" s="170"/>
      <c r="AM547" s="168"/>
      <c r="AN547" s="168"/>
      <c r="AV547" s="173"/>
      <c r="AW547" s="174"/>
      <c r="AY547" s="175"/>
      <c r="BB547" s="176"/>
      <c r="BC547" s="176"/>
      <c r="BD547" s="172"/>
      <c r="BE547" s="170"/>
    </row>
    <row r="548" spans="3:57">
      <c r="C548" s="167"/>
      <c r="R548" s="211"/>
      <c r="T548" s="168"/>
      <c r="U548" s="169"/>
      <c r="V548" s="170"/>
      <c r="W548" s="170"/>
      <c r="AF548" s="171"/>
      <c r="AJ548" s="172"/>
      <c r="AK548" s="170"/>
      <c r="AM548" s="168"/>
      <c r="AN548" s="168"/>
      <c r="AV548" s="173"/>
      <c r="AW548" s="174"/>
      <c r="AY548" s="175"/>
      <c r="BB548" s="176"/>
      <c r="BC548" s="176"/>
      <c r="BD548" s="172"/>
      <c r="BE548" s="170"/>
    </row>
    <row r="549" spans="3:57">
      <c r="C549" s="167"/>
      <c r="R549" s="211"/>
      <c r="T549" s="168"/>
      <c r="U549" s="169"/>
      <c r="V549" s="170"/>
      <c r="W549" s="170"/>
      <c r="AF549" s="171"/>
      <c r="AJ549" s="172"/>
      <c r="AK549" s="170"/>
      <c r="AM549" s="168"/>
      <c r="AN549" s="168"/>
      <c r="AV549" s="173"/>
      <c r="AW549" s="174"/>
      <c r="AY549" s="175"/>
      <c r="BB549" s="176"/>
      <c r="BC549" s="176"/>
      <c r="BD549" s="172"/>
      <c r="BE549" s="170"/>
    </row>
    <row r="550" spans="3:57">
      <c r="C550" s="167"/>
      <c r="R550" s="211"/>
      <c r="T550" s="168"/>
      <c r="U550" s="169"/>
      <c r="V550" s="170"/>
      <c r="W550" s="170"/>
      <c r="AF550" s="171"/>
      <c r="AJ550" s="172"/>
      <c r="AK550" s="170"/>
      <c r="AM550" s="168"/>
      <c r="AN550" s="168"/>
      <c r="AV550" s="173"/>
      <c r="AW550" s="174"/>
      <c r="AY550" s="175"/>
      <c r="BB550" s="176"/>
      <c r="BC550" s="176"/>
      <c r="BD550" s="172"/>
      <c r="BE550" s="170"/>
    </row>
    <row r="551" spans="3:57">
      <c r="C551" s="167"/>
      <c r="R551" s="211"/>
      <c r="T551" s="168"/>
      <c r="U551" s="169"/>
      <c r="V551" s="170"/>
      <c r="W551" s="170"/>
      <c r="AF551" s="171"/>
      <c r="AJ551" s="172"/>
      <c r="AK551" s="170"/>
      <c r="AM551" s="168"/>
      <c r="AN551" s="168"/>
      <c r="AV551" s="173"/>
      <c r="AW551" s="174"/>
      <c r="AY551" s="175"/>
      <c r="BB551" s="176"/>
      <c r="BC551" s="176"/>
      <c r="BD551" s="172"/>
      <c r="BE551" s="170"/>
    </row>
    <row r="552" spans="3:57">
      <c r="C552" s="167"/>
      <c r="R552" s="211"/>
      <c r="T552" s="168"/>
      <c r="U552" s="169"/>
      <c r="V552" s="170"/>
      <c r="W552" s="170"/>
      <c r="AF552" s="171"/>
      <c r="AJ552" s="172"/>
      <c r="AK552" s="170"/>
      <c r="AM552" s="168"/>
      <c r="AN552" s="168"/>
      <c r="AV552" s="173"/>
      <c r="AW552" s="174"/>
      <c r="AY552" s="175"/>
      <c r="BB552" s="176"/>
      <c r="BC552" s="176"/>
      <c r="BD552" s="172"/>
      <c r="BE552" s="170"/>
    </row>
    <row r="553" spans="3:57">
      <c r="C553" s="167"/>
      <c r="R553" s="211"/>
      <c r="T553" s="168"/>
      <c r="U553" s="169"/>
      <c r="V553" s="170"/>
      <c r="W553" s="170"/>
      <c r="AF553" s="171"/>
      <c r="AJ553" s="172"/>
      <c r="AK553" s="170"/>
      <c r="AM553" s="168"/>
      <c r="AN553" s="168"/>
      <c r="AV553" s="173"/>
      <c r="AW553" s="174"/>
      <c r="AY553" s="175"/>
      <c r="BB553" s="176"/>
      <c r="BC553" s="176"/>
      <c r="BD553" s="172"/>
      <c r="BE553" s="170"/>
    </row>
    <row r="554" spans="3:57">
      <c r="C554" s="167"/>
      <c r="R554" s="211"/>
      <c r="T554" s="168"/>
      <c r="U554" s="169"/>
      <c r="V554" s="170"/>
      <c r="W554" s="170"/>
      <c r="AF554" s="171"/>
      <c r="AJ554" s="172"/>
      <c r="AK554" s="170"/>
      <c r="AM554" s="168"/>
      <c r="AN554" s="168"/>
      <c r="AV554" s="173"/>
      <c r="AW554" s="174"/>
      <c r="AY554" s="175"/>
      <c r="BB554" s="176"/>
      <c r="BC554" s="176"/>
      <c r="BD554" s="172"/>
      <c r="BE554" s="170"/>
    </row>
    <row r="555" spans="3:57">
      <c r="C555" s="167"/>
      <c r="R555" s="211"/>
      <c r="T555" s="168"/>
      <c r="U555" s="169"/>
      <c r="V555" s="170"/>
      <c r="W555" s="170"/>
      <c r="AF555" s="171"/>
      <c r="AJ555" s="172"/>
      <c r="AK555" s="170"/>
      <c r="AM555" s="168"/>
      <c r="AN555" s="168"/>
      <c r="AV555" s="173"/>
      <c r="AW555" s="174"/>
      <c r="AY555" s="175"/>
      <c r="BB555" s="176"/>
      <c r="BC555" s="176"/>
      <c r="BD555" s="172"/>
      <c r="BE555" s="170"/>
    </row>
    <row r="556" spans="3:57">
      <c r="C556" s="167"/>
      <c r="R556" s="211"/>
      <c r="T556" s="168"/>
      <c r="U556" s="169"/>
      <c r="V556" s="170"/>
      <c r="W556" s="170"/>
      <c r="AF556" s="171"/>
      <c r="AJ556" s="172"/>
      <c r="AK556" s="170"/>
      <c r="AM556" s="168"/>
      <c r="AN556" s="168"/>
      <c r="AV556" s="173"/>
      <c r="AW556" s="174"/>
      <c r="AY556" s="175"/>
      <c r="BB556" s="176"/>
      <c r="BC556" s="176"/>
      <c r="BD556" s="172"/>
      <c r="BE556" s="170"/>
    </row>
    <row r="557" spans="3:57">
      <c r="C557" s="167"/>
      <c r="R557" s="211"/>
      <c r="T557" s="168"/>
      <c r="U557" s="169"/>
      <c r="V557" s="170"/>
      <c r="W557" s="170"/>
      <c r="AF557" s="171"/>
      <c r="AJ557" s="172"/>
      <c r="AK557" s="170"/>
      <c r="AM557" s="168"/>
      <c r="AN557" s="168"/>
      <c r="AV557" s="173"/>
      <c r="AW557" s="174"/>
      <c r="AY557" s="175"/>
      <c r="BB557" s="176"/>
      <c r="BC557" s="176"/>
      <c r="BD557" s="172"/>
      <c r="BE557" s="170"/>
    </row>
    <row r="558" spans="3:57">
      <c r="C558" s="167"/>
      <c r="R558" s="211"/>
      <c r="T558" s="168"/>
      <c r="U558" s="169"/>
      <c r="V558" s="170"/>
      <c r="W558" s="170"/>
      <c r="AF558" s="171"/>
      <c r="AJ558" s="172"/>
      <c r="AK558" s="170"/>
      <c r="AM558" s="168"/>
      <c r="AN558" s="168"/>
      <c r="AV558" s="173"/>
      <c r="AW558" s="174"/>
      <c r="AY558" s="175"/>
      <c r="BB558" s="176"/>
      <c r="BC558" s="176"/>
      <c r="BD558" s="172"/>
      <c r="BE558" s="170"/>
    </row>
    <row r="559" spans="3:57">
      <c r="C559" s="167"/>
      <c r="R559" s="211"/>
      <c r="T559" s="168"/>
      <c r="U559" s="169"/>
      <c r="V559" s="170"/>
      <c r="W559" s="170"/>
      <c r="AF559" s="171"/>
      <c r="AJ559" s="172"/>
      <c r="AK559" s="170"/>
      <c r="AM559" s="168"/>
      <c r="AN559" s="168"/>
      <c r="AV559" s="173"/>
      <c r="AW559" s="174"/>
      <c r="AY559" s="175"/>
      <c r="BB559" s="176"/>
      <c r="BC559" s="176"/>
      <c r="BD559" s="172"/>
      <c r="BE559" s="170"/>
    </row>
    <row r="560" spans="3:57">
      <c r="C560" s="167"/>
      <c r="R560" s="211"/>
      <c r="T560" s="168"/>
      <c r="U560" s="169"/>
      <c r="V560" s="170"/>
      <c r="W560" s="170"/>
      <c r="AF560" s="171"/>
      <c r="AJ560" s="172"/>
      <c r="AK560" s="170"/>
      <c r="AM560" s="168"/>
      <c r="AN560" s="168"/>
      <c r="AV560" s="173"/>
      <c r="AW560" s="174"/>
      <c r="AY560" s="175"/>
      <c r="BB560" s="176"/>
      <c r="BC560" s="176"/>
      <c r="BD560" s="172"/>
      <c r="BE560" s="170"/>
    </row>
    <row r="561" spans="3:57">
      <c r="C561" s="167"/>
      <c r="R561" s="211"/>
      <c r="T561" s="168"/>
      <c r="U561" s="169"/>
      <c r="V561" s="170"/>
      <c r="W561" s="170"/>
      <c r="AF561" s="171"/>
      <c r="AJ561" s="172"/>
      <c r="AK561" s="170"/>
      <c r="AM561" s="168"/>
      <c r="AN561" s="168"/>
      <c r="AV561" s="173"/>
      <c r="AW561" s="174"/>
      <c r="AY561" s="175"/>
      <c r="BB561" s="176"/>
      <c r="BC561" s="176"/>
      <c r="BD561" s="172"/>
      <c r="BE561" s="170"/>
    </row>
    <row r="562" spans="3:57">
      <c r="C562" s="167"/>
      <c r="R562" s="211"/>
      <c r="T562" s="168"/>
      <c r="U562" s="169"/>
      <c r="V562" s="170"/>
      <c r="W562" s="170"/>
      <c r="AF562" s="171"/>
      <c r="AJ562" s="172"/>
      <c r="AK562" s="170"/>
      <c r="AM562" s="168"/>
      <c r="AN562" s="168"/>
      <c r="AV562" s="173"/>
      <c r="AW562" s="174"/>
      <c r="AY562" s="175"/>
      <c r="BB562" s="176"/>
      <c r="BC562" s="176"/>
      <c r="BD562" s="172"/>
      <c r="BE562" s="170"/>
    </row>
    <row r="563" spans="3:57">
      <c r="C563" s="167"/>
      <c r="R563" s="211"/>
      <c r="T563" s="168"/>
      <c r="U563" s="169"/>
      <c r="V563" s="170"/>
      <c r="W563" s="170"/>
      <c r="AF563" s="171"/>
      <c r="AJ563" s="172"/>
      <c r="AK563" s="170"/>
      <c r="AM563" s="168"/>
      <c r="AN563" s="168"/>
      <c r="AV563" s="173"/>
      <c r="AW563" s="174"/>
      <c r="AY563" s="175"/>
      <c r="BB563" s="176"/>
      <c r="BC563" s="176"/>
      <c r="BD563" s="172"/>
      <c r="BE563" s="170"/>
    </row>
    <row r="564" spans="3:57">
      <c r="C564" s="167"/>
      <c r="R564" s="211"/>
      <c r="T564" s="168"/>
      <c r="U564" s="169"/>
      <c r="V564" s="170"/>
      <c r="W564" s="170"/>
      <c r="AF564" s="171"/>
      <c r="AJ564" s="172"/>
      <c r="AK564" s="170"/>
      <c r="AM564" s="168"/>
      <c r="AN564" s="168"/>
      <c r="AV564" s="173"/>
      <c r="AW564" s="174"/>
      <c r="AY564" s="175"/>
      <c r="BB564" s="176"/>
      <c r="BC564" s="176"/>
      <c r="BD564" s="172"/>
      <c r="BE564" s="170"/>
    </row>
    <row r="565" spans="3:57">
      <c r="C565" s="167"/>
      <c r="R565" s="211"/>
      <c r="T565" s="168"/>
      <c r="U565" s="169"/>
      <c r="V565" s="170"/>
      <c r="W565" s="170"/>
      <c r="AF565" s="171"/>
      <c r="AJ565" s="172"/>
      <c r="AK565" s="170"/>
      <c r="AM565" s="168"/>
      <c r="AN565" s="168"/>
      <c r="AV565" s="173"/>
      <c r="AW565" s="174"/>
      <c r="AY565" s="175"/>
      <c r="BB565" s="176"/>
      <c r="BC565" s="176"/>
      <c r="BD565" s="172"/>
      <c r="BE565" s="170"/>
    </row>
    <row r="566" spans="3:57">
      <c r="C566" s="167"/>
      <c r="R566" s="211"/>
      <c r="T566" s="168"/>
      <c r="U566" s="169"/>
      <c r="V566" s="170"/>
      <c r="W566" s="170"/>
      <c r="AF566" s="171"/>
      <c r="AJ566" s="172"/>
      <c r="AK566" s="170"/>
      <c r="AM566" s="168"/>
      <c r="AN566" s="168"/>
      <c r="AV566" s="173"/>
      <c r="AW566" s="174"/>
      <c r="AY566" s="175"/>
      <c r="BB566" s="176"/>
      <c r="BC566" s="176"/>
      <c r="BD566" s="172"/>
      <c r="BE566" s="170"/>
    </row>
    <row r="567" spans="3:57">
      <c r="C567" s="167"/>
      <c r="R567" s="211"/>
      <c r="T567" s="168"/>
      <c r="U567" s="169"/>
      <c r="V567" s="170"/>
      <c r="W567" s="170"/>
      <c r="AF567" s="171"/>
      <c r="AJ567" s="172"/>
      <c r="AK567" s="170"/>
      <c r="AM567" s="168"/>
      <c r="AN567" s="168"/>
      <c r="AV567" s="173"/>
      <c r="AW567" s="174"/>
      <c r="AY567" s="175"/>
      <c r="BB567" s="176"/>
      <c r="BC567" s="176"/>
      <c r="BD567" s="172"/>
      <c r="BE567" s="170"/>
    </row>
    <row r="568" spans="3:57">
      <c r="C568" s="167"/>
      <c r="R568" s="211"/>
      <c r="T568" s="168"/>
      <c r="U568" s="169"/>
      <c r="V568" s="170"/>
      <c r="W568" s="170"/>
      <c r="AF568" s="171"/>
      <c r="AJ568" s="172"/>
      <c r="AK568" s="170"/>
      <c r="AM568" s="168"/>
      <c r="AN568" s="168"/>
      <c r="AV568" s="173"/>
      <c r="AW568" s="174"/>
      <c r="AY568" s="175"/>
      <c r="BB568" s="176"/>
      <c r="BC568" s="176"/>
      <c r="BD568" s="172"/>
      <c r="BE568" s="170"/>
    </row>
    <row r="569" spans="3:57">
      <c r="C569" s="167"/>
      <c r="R569" s="211"/>
      <c r="T569" s="168"/>
      <c r="U569" s="169"/>
      <c r="V569" s="170"/>
      <c r="W569" s="170"/>
      <c r="AF569" s="171"/>
      <c r="AJ569" s="172"/>
      <c r="AK569" s="170"/>
      <c r="AM569" s="168"/>
      <c r="AN569" s="168"/>
      <c r="AV569" s="173"/>
      <c r="AW569" s="174"/>
      <c r="AY569" s="175"/>
      <c r="BB569" s="176"/>
      <c r="BC569" s="176"/>
      <c r="BD569" s="172"/>
      <c r="BE569" s="170"/>
    </row>
    <row r="570" spans="3:57">
      <c r="C570" s="167"/>
      <c r="R570" s="211"/>
      <c r="T570" s="168"/>
      <c r="U570" s="169"/>
      <c r="V570" s="170"/>
      <c r="W570" s="170"/>
      <c r="AF570" s="171"/>
      <c r="AJ570" s="172"/>
      <c r="AK570" s="170"/>
      <c r="AM570" s="168"/>
      <c r="AN570" s="168"/>
      <c r="AV570" s="173"/>
      <c r="AW570" s="174"/>
      <c r="AY570" s="175"/>
      <c r="BB570" s="176"/>
      <c r="BC570" s="176"/>
      <c r="BD570" s="172"/>
      <c r="BE570" s="170"/>
    </row>
    <row r="571" spans="3:57">
      <c r="C571" s="167"/>
      <c r="R571" s="211"/>
      <c r="T571" s="168"/>
      <c r="U571" s="169"/>
      <c r="V571" s="170"/>
      <c r="W571" s="170"/>
      <c r="AF571" s="171"/>
      <c r="AJ571" s="172"/>
      <c r="AK571" s="170"/>
      <c r="AM571" s="168"/>
      <c r="AN571" s="168"/>
      <c r="AV571" s="173"/>
      <c r="AW571" s="174"/>
      <c r="AY571" s="175"/>
      <c r="BB571" s="176"/>
      <c r="BC571" s="176"/>
      <c r="BD571" s="172"/>
      <c r="BE571" s="170"/>
    </row>
    <row r="572" spans="3:57">
      <c r="C572" s="167"/>
      <c r="R572" s="211"/>
      <c r="T572" s="168"/>
      <c r="U572" s="169"/>
      <c r="V572" s="170"/>
      <c r="W572" s="170"/>
      <c r="AF572" s="171"/>
      <c r="AJ572" s="172"/>
      <c r="AK572" s="170"/>
      <c r="AM572" s="168"/>
      <c r="AN572" s="168"/>
      <c r="AV572" s="173"/>
      <c r="AW572" s="174"/>
      <c r="AY572" s="175"/>
      <c r="BB572" s="176"/>
      <c r="BC572" s="176"/>
      <c r="BD572" s="172"/>
      <c r="BE572" s="170"/>
    </row>
    <row r="573" spans="3:57">
      <c r="C573" s="167"/>
      <c r="R573" s="211"/>
      <c r="T573" s="168"/>
      <c r="U573" s="169"/>
      <c r="V573" s="170"/>
      <c r="W573" s="170"/>
      <c r="AF573" s="171"/>
      <c r="AJ573" s="172"/>
      <c r="AK573" s="170"/>
      <c r="AM573" s="168"/>
      <c r="AN573" s="168"/>
      <c r="AV573" s="173"/>
      <c r="AW573" s="174"/>
      <c r="AY573" s="175"/>
      <c r="BB573" s="176"/>
      <c r="BC573" s="176"/>
      <c r="BD573" s="172"/>
      <c r="BE573" s="170"/>
    </row>
    <row r="574" spans="3:57">
      <c r="C574" s="167"/>
      <c r="R574" s="211"/>
      <c r="T574" s="168"/>
      <c r="U574" s="169"/>
      <c r="V574" s="170"/>
      <c r="W574" s="170"/>
      <c r="AF574" s="171"/>
      <c r="AJ574" s="172"/>
      <c r="AK574" s="170"/>
      <c r="AM574" s="168"/>
      <c r="AN574" s="168"/>
      <c r="AV574" s="173"/>
      <c r="AW574" s="174"/>
      <c r="AY574" s="175"/>
      <c r="BB574" s="176"/>
      <c r="BC574" s="176"/>
      <c r="BD574" s="172"/>
      <c r="BE574" s="170"/>
    </row>
    <row r="575" spans="3:57">
      <c r="C575" s="167"/>
      <c r="R575" s="211"/>
      <c r="T575" s="168"/>
      <c r="U575" s="169"/>
      <c r="V575" s="170"/>
      <c r="W575" s="170"/>
      <c r="AF575" s="171"/>
      <c r="AJ575" s="172"/>
      <c r="AK575" s="170"/>
      <c r="AM575" s="168"/>
      <c r="AN575" s="168"/>
      <c r="AV575" s="173"/>
      <c r="AW575" s="174"/>
      <c r="AY575" s="175"/>
      <c r="BB575" s="176"/>
      <c r="BC575" s="176"/>
      <c r="BD575" s="172"/>
      <c r="BE575" s="170"/>
    </row>
    <row r="576" spans="3:57">
      <c r="C576" s="167"/>
      <c r="R576" s="211"/>
      <c r="T576" s="168"/>
      <c r="U576" s="169"/>
      <c r="V576" s="170"/>
      <c r="W576" s="170"/>
      <c r="AF576" s="171"/>
      <c r="AJ576" s="172"/>
      <c r="AK576" s="170"/>
      <c r="AM576" s="168"/>
      <c r="AN576" s="168"/>
      <c r="AV576" s="173"/>
      <c r="AW576" s="174"/>
      <c r="AY576" s="175"/>
      <c r="BB576" s="176"/>
      <c r="BC576" s="176"/>
      <c r="BD576" s="172"/>
      <c r="BE576" s="170"/>
    </row>
    <row r="577" spans="3:57">
      <c r="C577" s="167"/>
      <c r="R577" s="211"/>
      <c r="T577" s="168"/>
      <c r="U577" s="169"/>
      <c r="V577" s="170"/>
      <c r="W577" s="170"/>
      <c r="AF577" s="171"/>
      <c r="AJ577" s="172"/>
      <c r="AK577" s="170"/>
      <c r="AM577" s="168"/>
      <c r="AN577" s="168"/>
      <c r="AV577" s="173"/>
      <c r="AW577" s="174"/>
      <c r="AY577" s="175"/>
      <c r="BB577" s="176"/>
      <c r="BC577" s="176"/>
      <c r="BD577" s="172"/>
      <c r="BE577" s="170"/>
    </row>
    <row r="578" spans="3:57">
      <c r="C578" s="167"/>
      <c r="R578" s="211"/>
      <c r="T578" s="168"/>
      <c r="U578" s="169"/>
      <c r="V578" s="170"/>
      <c r="W578" s="170"/>
      <c r="AF578" s="171"/>
      <c r="AJ578" s="172"/>
      <c r="AK578" s="170"/>
      <c r="AM578" s="168"/>
      <c r="AN578" s="168"/>
      <c r="AV578" s="173"/>
      <c r="AW578" s="174"/>
      <c r="AY578" s="175"/>
      <c r="BB578" s="176"/>
      <c r="BC578" s="176"/>
      <c r="BD578" s="172"/>
      <c r="BE578" s="170"/>
    </row>
    <row r="579" spans="3:57">
      <c r="C579" s="167"/>
      <c r="R579" s="211"/>
      <c r="T579" s="168"/>
      <c r="U579" s="169"/>
      <c r="V579" s="170"/>
      <c r="W579" s="170"/>
      <c r="AF579" s="171"/>
      <c r="AJ579" s="172"/>
      <c r="AK579" s="170"/>
      <c r="AM579" s="168"/>
      <c r="AN579" s="168"/>
      <c r="AV579" s="173"/>
      <c r="AW579" s="174"/>
      <c r="AY579" s="175"/>
      <c r="BB579" s="176"/>
      <c r="BC579" s="176"/>
      <c r="BD579" s="172"/>
      <c r="BE579" s="170"/>
    </row>
    <row r="580" spans="3:57">
      <c r="C580" s="167"/>
      <c r="R580" s="211"/>
      <c r="T580" s="168"/>
      <c r="U580" s="169"/>
      <c r="V580" s="170"/>
      <c r="W580" s="170"/>
      <c r="AF580" s="171"/>
      <c r="AJ580" s="172"/>
      <c r="AK580" s="170"/>
      <c r="AM580" s="168"/>
      <c r="AN580" s="168"/>
      <c r="AV580" s="173"/>
      <c r="AW580" s="174"/>
      <c r="AY580" s="175"/>
      <c r="BB580" s="176"/>
      <c r="BC580" s="176"/>
      <c r="BD580" s="172"/>
      <c r="BE580" s="170"/>
    </row>
    <row r="581" spans="3:57">
      <c r="C581" s="167"/>
      <c r="R581" s="211"/>
      <c r="T581" s="168"/>
      <c r="U581" s="169"/>
      <c r="V581" s="170"/>
      <c r="W581" s="170"/>
      <c r="AF581" s="171"/>
      <c r="AJ581" s="172"/>
      <c r="AK581" s="170"/>
      <c r="AM581" s="168"/>
      <c r="AN581" s="168"/>
      <c r="AV581" s="173"/>
      <c r="AW581" s="174"/>
      <c r="AY581" s="175"/>
      <c r="BB581" s="176"/>
      <c r="BC581" s="176"/>
      <c r="BD581" s="172"/>
      <c r="BE581" s="170"/>
    </row>
    <row r="582" spans="3:57">
      <c r="C582" s="167"/>
      <c r="R582" s="211"/>
      <c r="T582" s="168"/>
      <c r="U582" s="169"/>
      <c r="V582" s="170"/>
      <c r="W582" s="170"/>
      <c r="AF582" s="171"/>
      <c r="AJ582" s="172"/>
      <c r="AK582" s="170"/>
      <c r="AM582" s="168"/>
      <c r="AN582" s="168"/>
      <c r="AV582" s="173"/>
      <c r="AW582" s="174"/>
      <c r="AY582" s="175"/>
      <c r="BB582" s="176"/>
      <c r="BC582" s="176"/>
      <c r="BD582" s="172"/>
      <c r="BE582" s="170"/>
    </row>
    <row r="583" spans="3:57">
      <c r="C583" s="167"/>
      <c r="R583" s="211"/>
      <c r="T583" s="168"/>
      <c r="U583" s="169"/>
      <c r="V583" s="170"/>
      <c r="W583" s="170"/>
      <c r="AF583" s="171"/>
      <c r="AJ583" s="172"/>
      <c r="AK583" s="170"/>
      <c r="AM583" s="168"/>
      <c r="AN583" s="168"/>
      <c r="AV583" s="173"/>
      <c r="AW583" s="174"/>
      <c r="AY583" s="175"/>
      <c r="BB583" s="176"/>
      <c r="BC583" s="176"/>
      <c r="BD583" s="172"/>
      <c r="BE583" s="170"/>
    </row>
    <row r="584" spans="3:57">
      <c r="C584" s="167"/>
      <c r="R584" s="211"/>
      <c r="T584" s="168"/>
      <c r="U584" s="169"/>
      <c r="V584" s="170"/>
      <c r="W584" s="170"/>
      <c r="AF584" s="171"/>
      <c r="AJ584" s="172"/>
      <c r="AK584" s="170"/>
      <c r="AM584" s="168"/>
      <c r="AN584" s="168"/>
      <c r="AV584" s="173"/>
      <c r="AW584" s="174"/>
      <c r="AY584" s="175"/>
      <c r="BB584" s="176"/>
      <c r="BC584" s="176"/>
      <c r="BD584" s="172"/>
      <c r="BE584" s="170"/>
    </row>
    <row r="585" spans="3:57">
      <c r="C585" s="167"/>
      <c r="R585" s="211"/>
      <c r="T585" s="168"/>
      <c r="U585" s="169"/>
      <c r="V585" s="170"/>
      <c r="W585" s="170"/>
      <c r="AF585" s="171"/>
      <c r="AJ585" s="172"/>
      <c r="AK585" s="170"/>
      <c r="AM585" s="168"/>
      <c r="AN585" s="168"/>
      <c r="AV585" s="173"/>
      <c r="AW585" s="174"/>
      <c r="AY585" s="175"/>
      <c r="BB585" s="176"/>
      <c r="BC585" s="176"/>
      <c r="BD585" s="172"/>
      <c r="BE585" s="170"/>
    </row>
    <row r="586" spans="3:57">
      <c r="C586" s="167"/>
      <c r="R586" s="211"/>
      <c r="T586" s="168"/>
      <c r="U586" s="169"/>
      <c r="V586" s="170"/>
      <c r="W586" s="170"/>
      <c r="AF586" s="171"/>
      <c r="AJ586" s="172"/>
      <c r="AK586" s="170"/>
      <c r="AM586" s="168"/>
      <c r="AN586" s="168"/>
      <c r="AV586" s="173"/>
      <c r="AW586" s="174"/>
      <c r="AY586" s="175"/>
      <c r="BB586" s="176"/>
      <c r="BC586" s="176"/>
      <c r="BD586" s="172"/>
      <c r="BE586" s="170"/>
    </row>
    <row r="587" spans="3:57">
      <c r="C587" s="167"/>
      <c r="R587" s="211"/>
      <c r="T587" s="168"/>
      <c r="U587" s="169"/>
      <c r="V587" s="170"/>
      <c r="W587" s="170"/>
      <c r="AF587" s="171"/>
      <c r="AJ587" s="172"/>
      <c r="AK587" s="170"/>
      <c r="AM587" s="168"/>
      <c r="AN587" s="168"/>
      <c r="AV587" s="173"/>
      <c r="AW587" s="174"/>
      <c r="AY587" s="175"/>
      <c r="BB587" s="176"/>
      <c r="BC587" s="176"/>
      <c r="BD587" s="172"/>
      <c r="BE587" s="170"/>
    </row>
    <row r="588" spans="3:57">
      <c r="C588" s="167"/>
      <c r="R588" s="211"/>
      <c r="T588" s="168"/>
      <c r="U588" s="169"/>
      <c r="V588" s="170"/>
      <c r="W588" s="170"/>
      <c r="AF588" s="171"/>
      <c r="AJ588" s="172"/>
      <c r="AK588" s="170"/>
      <c r="AM588" s="168"/>
      <c r="AN588" s="168"/>
      <c r="AV588" s="173"/>
      <c r="AW588" s="174"/>
      <c r="AY588" s="175"/>
      <c r="BB588" s="176"/>
      <c r="BC588" s="176"/>
      <c r="BD588" s="172"/>
      <c r="BE588" s="170"/>
    </row>
    <row r="589" spans="3:57">
      <c r="C589" s="167"/>
      <c r="R589" s="211"/>
      <c r="T589" s="168"/>
      <c r="U589" s="169"/>
      <c r="V589" s="170"/>
      <c r="W589" s="170"/>
      <c r="AF589" s="171"/>
      <c r="AJ589" s="172"/>
      <c r="AK589" s="170"/>
      <c r="AM589" s="168"/>
      <c r="AN589" s="168"/>
      <c r="AV589" s="173"/>
      <c r="AW589" s="174"/>
      <c r="AY589" s="175"/>
      <c r="BB589" s="176"/>
      <c r="BC589" s="176"/>
      <c r="BD589" s="172"/>
      <c r="BE589" s="170"/>
    </row>
    <row r="590" spans="3:57">
      <c r="C590" s="167"/>
      <c r="R590" s="211"/>
      <c r="T590" s="168"/>
      <c r="U590" s="169"/>
      <c r="V590" s="170"/>
      <c r="W590" s="170"/>
      <c r="AF590" s="171"/>
      <c r="AJ590" s="172"/>
      <c r="AK590" s="170"/>
      <c r="AM590" s="168"/>
      <c r="AN590" s="168"/>
      <c r="AV590" s="173"/>
      <c r="AW590" s="174"/>
      <c r="AY590" s="175"/>
      <c r="BB590" s="176"/>
      <c r="BC590" s="176"/>
      <c r="BD590" s="172"/>
      <c r="BE590" s="170"/>
    </row>
    <row r="591" spans="3:57">
      <c r="C591" s="167"/>
      <c r="R591" s="211"/>
      <c r="T591" s="168"/>
      <c r="U591" s="169"/>
      <c r="V591" s="170"/>
      <c r="W591" s="170"/>
      <c r="AF591" s="171"/>
      <c r="AJ591" s="172"/>
      <c r="AK591" s="170"/>
      <c r="AM591" s="168"/>
      <c r="AN591" s="168"/>
      <c r="AV591" s="173"/>
      <c r="AW591" s="174"/>
      <c r="AY591" s="175"/>
      <c r="BB591" s="176"/>
      <c r="BC591" s="176"/>
      <c r="BD591" s="172"/>
      <c r="BE591" s="170"/>
    </row>
    <row r="592" spans="3:57">
      <c r="C592" s="167"/>
      <c r="R592" s="211"/>
      <c r="T592" s="168"/>
      <c r="U592" s="169"/>
      <c r="V592" s="170"/>
      <c r="W592" s="170"/>
      <c r="AF592" s="171"/>
      <c r="AJ592" s="172"/>
      <c r="AK592" s="170"/>
      <c r="AM592" s="168"/>
      <c r="AN592" s="168"/>
      <c r="AV592" s="173"/>
      <c r="AW592" s="174"/>
      <c r="AY592" s="175"/>
      <c r="BB592" s="176"/>
      <c r="BC592" s="176"/>
      <c r="BD592" s="172"/>
      <c r="BE592" s="170"/>
    </row>
    <row r="593" spans="3:57">
      <c r="C593" s="167"/>
      <c r="R593" s="211"/>
      <c r="T593" s="168"/>
      <c r="U593" s="169"/>
      <c r="V593" s="170"/>
      <c r="W593" s="170"/>
      <c r="AF593" s="171"/>
      <c r="AJ593" s="172"/>
      <c r="AK593" s="170"/>
      <c r="AM593" s="168"/>
      <c r="AN593" s="168"/>
      <c r="AV593" s="173"/>
      <c r="AW593" s="174"/>
      <c r="AY593" s="175"/>
      <c r="BB593" s="176"/>
      <c r="BC593" s="176"/>
      <c r="BD593" s="172"/>
      <c r="BE593" s="170"/>
    </row>
    <row r="594" spans="3:57">
      <c r="C594" s="167"/>
      <c r="R594" s="211"/>
      <c r="T594" s="168"/>
      <c r="U594" s="169"/>
      <c r="V594" s="170"/>
      <c r="W594" s="170"/>
      <c r="AF594" s="171"/>
      <c r="AJ594" s="172"/>
      <c r="AK594" s="170"/>
      <c r="AM594" s="168"/>
      <c r="AN594" s="168"/>
      <c r="AV594" s="173"/>
      <c r="AW594" s="174"/>
      <c r="AY594" s="175"/>
      <c r="BB594" s="176"/>
      <c r="BC594" s="176"/>
      <c r="BD594" s="172"/>
      <c r="BE594" s="170"/>
    </row>
    <row r="595" spans="3:57">
      <c r="C595" s="167"/>
      <c r="R595" s="211"/>
      <c r="T595" s="168"/>
      <c r="U595" s="169"/>
      <c r="V595" s="170"/>
      <c r="W595" s="170"/>
      <c r="AF595" s="171"/>
      <c r="AJ595" s="172"/>
      <c r="AK595" s="170"/>
      <c r="AM595" s="168"/>
      <c r="AN595" s="168"/>
      <c r="AV595" s="173"/>
      <c r="AW595" s="174"/>
      <c r="AY595" s="175"/>
      <c r="BB595" s="176"/>
      <c r="BC595" s="176"/>
      <c r="BD595" s="172"/>
      <c r="BE595" s="170"/>
    </row>
    <row r="596" spans="3:57">
      <c r="C596" s="167"/>
      <c r="R596" s="211"/>
      <c r="T596" s="168"/>
      <c r="U596" s="169"/>
      <c r="V596" s="170"/>
      <c r="W596" s="170"/>
      <c r="AF596" s="171"/>
      <c r="AJ596" s="172"/>
      <c r="AK596" s="170"/>
      <c r="AM596" s="168"/>
      <c r="AN596" s="168"/>
      <c r="AV596" s="173"/>
      <c r="AW596" s="174"/>
      <c r="AY596" s="175"/>
      <c r="BB596" s="176"/>
      <c r="BC596" s="176"/>
      <c r="BD596" s="172"/>
      <c r="BE596" s="170"/>
    </row>
    <row r="597" spans="3:57">
      <c r="C597" s="167"/>
      <c r="R597" s="211"/>
      <c r="T597" s="168"/>
      <c r="U597" s="169"/>
      <c r="V597" s="170"/>
      <c r="W597" s="170"/>
      <c r="AF597" s="171"/>
      <c r="AJ597" s="172"/>
      <c r="AK597" s="170"/>
      <c r="AM597" s="168"/>
      <c r="AN597" s="168"/>
      <c r="AV597" s="173"/>
      <c r="AW597" s="174"/>
      <c r="AY597" s="175"/>
      <c r="BB597" s="176"/>
      <c r="BC597" s="176"/>
      <c r="BD597" s="172"/>
      <c r="BE597" s="170"/>
    </row>
    <row r="598" spans="3:57">
      <c r="C598" s="167"/>
      <c r="R598" s="211"/>
      <c r="T598" s="168"/>
      <c r="U598" s="169"/>
      <c r="V598" s="170"/>
      <c r="W598" s="170"/>
      <c r="AF598" s="171"/>
      <c r="AJ598" s="172"/>
      <c r="AK598" s="170"/>
      <c r="AM598" s="168"/>
      <c r="AN598" s="168"/>
      <c r="AV598" s="173"/>
      <c r="AW598" s="174"/>
      <c r="AY598" s="175"/>
      <c r="BB598" s="176"/>
      <c r="BC598" s="176"/>
      <c r="BD598" s="172"/>
      <c r="BE598" s="170"/>
    </row>
    <row r="599" spans="3:57">
      <c r="C599" s="167"/>
      <c r="R599" s="211"/>
      <c r="T599" s="168"/>
      <c r="U599" s="169"/>
      <c r="V599" s="170"/>
      <c r="W599" s="170"/>
      <c r="AF599" s="171"/>
      <c r="AJ599" s="172"/>
      <c r="AK599" s="170"/>
      <c r="AM599" s="168"/>
      <c r="AN599" s="168"/>
      <c r="AV599" s="173"/>
      <c r="AW599" s="174"/>
      <c r="AY599" s="175"/>
      <c r="BB599" s="176"/>
      <c r="BC599" s="176"/>
      <c r="BD599" s="172"/>
      <c r="BE599" s="170"/>
    </row>
    <row r="600" spans="3:57">
      <c r="C600" s="167"/>
      <c r="R600" s="211"/>
      <c r="T600" s="168"/>
      <c r="U600" s="169"/>
      <c r="V600" s="170"/>
      <c r="W600" s="170"/>
      <c r="AF600" s="171"/>
      <c r="AJ600" s="172"/>
      <c r="AK600" s="170"/>
      <c r="AM600" s="168"/>
      <c r="AN600" s="168"/>
      <c r="AV600" s="173"/>
      <c r="AW600" s="174"/>
      <c r="AY600" s="175"/>
      <c r="BB600" s="176"/>
      <c r="BC600" s="176"/>
      <c r="BD600" s="172"/>
      <c r="BE600" s="170"/>
    </row>
    <row r="601" spans="3:57">
      <c r="C601" s="167"/>
      <c r="R601" s="211"/>
      <c r="T601" s="168"/>
      <c r="U601" s="169"/>
      <c r="V601" s="170"/>
      <c r="W601" s="170"/>
      <c r="AF601" s="171"/>
      <c r="AJ601" s="172"/>
      <c r="AK601" s="170"/>
      <c r="AM601" s="168"/>
      <c r="AN601" s="168"/>
      <c r="AV601" s="173"/>
      <c r="AW601" s="174"/>
      <c r="AY601" s="175"/>
      <c r="BB601" s="176"/>
      <c r="BC601" s="176"/>
      <c r="BD601" s="172"/>
      <c r="BE601" s="170"/>
    </row>
    <row r="602" spans="3:57">
      <c r="C602" s="167"/>
      <c r="R602" s="211"/>
      <c r="T602" s="168"/>
      <c r="U602" s="169"/>
      <c r="V602" s="170"/>
      <c r="W602" s="170"/>
      <c r="AF602" s="171"/>
      <c r="AJ602" s="172"/>
      <c r="AK602" s="170"/>
      <c r="AM602" s="168"/>
      <c r="AN602" s="168"/>
      <c r="AV602" s="173"/>
      <c r="AW602" s="174"/>
      <c r="AY602" s="175"/>
      <c r="BB602" s="176"/>
      <c r="BC602" s="176"/>
      <c r="BD602" s="172"/>
      <c r="BE602" s="170"/>
    </row>
    <row r="603" spans="3:57">
      <c r="C603" s="167"/>
      <c r="R603" s="211"/>
      <c r="T603" s="168"/>
      <c r="U603" s="169"/>
      <c r="V603" s="170"/>
      <c r="W603" s="170"/>
      <c r="AF603" s="171"/>
      <c r="AJ603" s="172"/>
      <c r="AK603" s="170"/>
      <c r="AM603" s="168"/>
      <c r="AN603" s="168"/>
      <c r="AV603" s="173"/>
      <c r="AW603" s="174"/>
      <c r="AY603" s="175"/>
      <c r="BB603" s="176"/>
      <c r="BC603" s="176"/>
      <c r="BD603" s="172"/>
      <c r="BE603" s="170"/>
    </row>
    <row r="604" spans="3:57">
      <c r="C604" s="167"/>
      <c r="R604" s="211"/>
      <c r="T604" s="168"/>
      <c r="U604" s="169"/>
      <c r="V604" s="170"/>
      <c r="W604" s="170"/>
      <c r="AF604" s="171"/>
      <c r="AJ604" s="172"/>
      <c r="AK604" s="170"/>
      <c r="AM604" s="168"/>
      <c r="AN604" s="168"/>
      <c r="AV604" s="173"/>
      <c r="AW604" s="174"/>
      <c r="AY604" s="175"/>
      <c r="BB604" s="176"/>
      <c r="BC604" s="176"/>
      <c r="BD604" s="172"/>
      <c r="BE604" s="170"/>
    </row>
    <row r="605" spans="3:57">
      <c r="C605" s="167"/>
      <c r="R605" s="211"/>
      <c r="T605" s="168"/>
      <c r="U605" s="169"/>
      <c r="V605" s="170"/>
      <c r="W605" s="170"/>
      <c r="AF605" s="171"/>
      <c r="AJ605" s="172"/>
      <c r="AK605" s="170"/>
      <c r="AM605" s="168"/>
      <c r="AN605" s="168"/>
      <c r="AV605" s="173"/>
      <c r="AW605" s="174"/>
      <c r="AY605" s="175"/>
      <c r="BB605" s="176"/>
      <c r="BC605" s="176"/>
      <c r="BD605" s="172"/>
      <c r="BE605" s="170"/>
    </row>
    <row r="606" spans="3:57">
      <c r="C606" s="167"/>
      <c r="R606" s="211"/>
      <c r="T606" s="168"/>
      <c r="U606" s="169"/>
      <c r="V606" s="170"/>
      <c r="W606" s="170"/>
      <c r="AF606" s="171"/>
      <c r="AJ606" s="172"/>
      <c r="AK606" s="170"/>
      <c r="AM606" s="168"/>
      <c r="AN606" s="168"/>
      <c r="AV606" s="173"/>
      <c r="AW606" s="174"/>
      <c r="AY606" s="175"/>
      <c r="BB606" s="176"/>
      <c r="BC606" s="176"/>
      <c r="BD606" s="172"/>
      <c r="BE606" s="170"/>
    </row>
    <row r="607" spans="3:57">
      <c r="C607" s="167"/>
      <c r="R607" s="211"/>
      <c r="T607" s="168"/>
      <c r="U607" s="169"/>
      <c r="V607" s="170"/>
      <c r="W607" s="170"/>
      <c r="AF607" s="171"/>
      <c r="AJ607" s="172"/>
      <c r="AK607" s="170"/>
      <c r="AM607" s="168"/>
      <c r="AN607" s="168"/>
      <c r="AV607" s="173"/>
      <c r="AW607" s="174"/>
      <c r="AY607" s="175"/>
      <c r="BB607" s="176"/>
      <c r="BC607" s="176"/>
      <c r="BD607" s="172"/>
      <c r="BE607" s="170"/>
    </row>
    <row r="608" spans="3:57">
      <c r="C608" s="167"/>
      <c r="R608" s="211"/>
      <c r="T608" s="168"/>
      <c r="U608" s="169"/>
      <c r="V608" s="170"/>
      <c r="W608" s="170"/>
      <c r="AF608" s="171"/>
      <c r="AJ608" s="172"/>
      <c r="AK608" s="170"/>
      <c r="AM608" s="168"/>
      <c r="AN608" s="168"/>
      <c r="AV608" s="173"/>
      <c r="AW608" s="174"/>
      <c r="AY608" s="175"/>
      <c r="BB608" s="176"/>
      <c r="BC608" s="176"/>
      <c r="BD608" s="172"/>
      <c r="BE608" s="170"/>
    </row>
    <row r="609" spans="3:57">
      <c r="C609" s="167"/>
      <c r="R609" s="211"/>
      <c r="T609" s="168"/>
      <c r="U609" s="169"/>
      <c r="V609" s="170"/>
      <c r="W609" s="170"/>
      <c r="AF609" s="171"/>
      <c r="AJ609" s="172"/>
      <c r="AK609" s="170"/>
      <c r="AM609" s="168"/>
      <c r="AN609" s="168"/>
      <c r="AV609" s="173"/>
      <c r="AW609" s="174"/>
      <c r="AY609" s="175"/>
      <c r="BB609" s="176"/>
      <c r="BC609" s="176"/>
      <c r="BD609" s="172"/>
      <c r="BE609" s="170"/>
    </row>
    <row r="610" spans="3:57">
      <c r="C610" s="167"/>
      <c r="R610" s="211"/>
      <c r="T610" s="168"/>
      <c r="U610" s="169"/>
      <c r="V610" s="170"/>
      <c r="W610" s="170"/>
      <c r="AF610" s="171"/>
      <c r="AJ610" s="172"/>
      <c r="AK610" s="170"/>
      <c r="AM610" s="168"/>
      <c r="AN610" s="168"/>
      <c r="AV610" s="173"/>
      <c r="AW610" s="174"/>
      <c r="AY610" s="175"/>
      <c r="BB610" s="176"/>
      <c r="BC610" s="176"/>
      <c r="BD610" s="172"/>
      <c r="BE610" s="170"/>
    </row>
    <row r="611" spans="3:57">
      <c r="C611" s="167"/>
      <c r="R611" s="211"/>
      <c r="T611" s="168"/>
      <c r="U611" s="169"/>
      <c r="V611" s="170"/>
      <c r="W611" s="170"/>
      <c r="AF611" s="171"/>
      <c r="AJ611" s="172"/>
      <c r="AK611" s="170"/>
      <c r="AM611" s="168"/>
      <c r="AN611" s="168"/>
      <c r="AV611" s="173"/>
      <c r="AW611" s="174"/>
      <c r="AY611" s="175"/>
      <c r="BB611" s="176"/>
      <c r="BC611" s="176"/>
      <c r="BD611" s="172"/>
      <c r="BE611" s="170"/>
    </row>
    <row r="612" spans="3:57">
      <c r="C612" s="167"/>
      <c r="R612" s="211"/>
      <c r="T612" s="168"/>
      <c r="U612" s="169"/>
      <c r="V612" s="170"/>
      <c r="W612" s="170"/>
      <c r="AF612" s="171"/>
      <c r="AJ612" s="172"/>
      <c r="AK612" s="170"/>
      <c r="AM612" s="168"/>
      <c r="AN612" s="168"/>
      <c r="AV612" s="173"/>
      <c r="AW612" s="174"/>
      <c r="AY612" s="175"/>
      <c r="BB612" s="176"/>
      <c r="BC612" s="176"/>
      <c r="BD612" s="172"/>
      <c r="BE612" s="170"/>
    </row>
    <row r="613" spans="3:57">
      <c r="C613" s="167"/>
      <c r="R613" s="211"/>
      <c r="T613" s="168"/>
      <c r="U613" s="169"/>
      <c r="V613" s="170"/>
      <c r="W613" s="170"/>
      <c r="AF613" s="171"/>
      <c r="AJ613" s="172"/>
      <c r="AK613" s="170"/>
      <c r="AM613" s="168"/>
      <c r="AN613" s="168"/>
      <c r="AV613" s="173"/>
      <c r="AW613" s="174"/>
      <c r="AY613" s="175"/>
      <c r="BB613" s="176"/>
      <c r="BC613" s="176"/>
      <c r="BD613" s="172"/>
      <c r="BE613" s="170"/>
    </row>
    <row r="614" spans="3:57">
      <c r="C614" s="167"/>
      <c r="R614" s="211"/>
      <c r="T614" s="168"/>
      <c r="U614" s="169"/>
      <c r="V614" s="170"/>
      <c r="W614" s="170"/>
      <c r="AF614" s="171"/>
      <c r="AJ614" s="172"/>
      <c r="AK614" s="170"/>
      <c r="AM614" s="168"/>
      <c r="AN614" s="168"/>
      <c r="AV614" s="173"/>
      <c r="AW614" s="174"/>
      <c r="AY614" s="175"/>
      <c r="BB614" s="176"/>
      <c r="BC614" s="176"/>
      <c r="BD614" s="172"/>
      <c r="BE614" s="170"/>
    </row>
    <row r="615" spans="3:57">
      <c r="C615" s="167"/>
      <c r="R615" s="211"/>
      <c r="T615" s="168"/>
      <c r="U615" s="169"/>
      <c r="V615" s="170"/>
      <c r="W615" s="170"/>
      <c r="AF615" s="171"/>
      <c r="AJ615" s="172"/>
      <c r="AK615" s="170"/>
      <c r="AM615" s="168"/>
      <c r="AN615" s="168"/>
      <c r="AV615" s="173"/>
      <c r="AW615" s="174"/>
      <c r="AY615" s="175"/>
      <c r="BB615" s="176"/>
      <c r="BC615" s="176"/>
      <c r="BD615" s="172"/>
      <c r="BE615" s="170"/>
    </row>
    <row r="616" spans="3:57">
      <c r="C616" s="167"/>
      <c r="R616" s="211"/>
      <c r="T616" s="168"/>
      <c r="U616" s="169"/>
      <c r="V616" s="170"/>
      <c r="W616" s="170"/>
      <c r="AF616" s="171"/>
      <c r="AJ616" s="172"/>
      <c r="AK616" s="170"/>
      <c r="AM616" s="168"/>
      <c r="AN616" s="168"/>
      <c r="AV616" s="173"/>
      <c r="AW616" s="174"/>
      <c r="AY616" s="175"/>
      <c r="BB616" s="176"/>
      <c r="BC616" s="176"/>
      <c r="BD616" s="172"/>
      <c r="BE616" s="170"/>
    </row>
    <row r="617" spans="3:57">
      <c r="C617" s="167"/>
      <c r="R617" s="211"/>
      <c r="T617" s="168"/>
      <c r="U617" s="169"/>
      <c r="V617" s="170"/>
      <c r="W617" s="170"/>
      <c r="AF617" s="171"/>
      <c r="AJ617" s="172"/>
      <c r="AK617" s="170"/>
      <c r="AM617" s="168"/>
      <c r="AN617" s="168"/>
      <c r="AV617" s="173"/>
      <c r="AW617" s="174"/>
      <c r="AY617" s="175"/>
      <c r="BB617" s="176"/>
      <c r="BC617" s="176"/>
      <c r="BD617" s="172"/>
      <c r="BE617" s="170"/>
    </row>
    <row r="618" spans="3:57">
      <c r="C618" s="167"/>
      <c r="R618" s="211"/>
      <c r="T618" s="168"/>
      <c r="U618" s="169"/>
      <c r="V618" s="170"/>
      <c r="W618" s="170"/>
      <c r="AF618" s="171"/>
      <c r="AJ618" s="172"/>
      <c r="AK618" s="170"/>
      <c r="AM618" s="168"/>
      <c r="AN618" s="168"/>
      <c r="AV618" s="173"/>
      <c r="AW618" s="174"/>
      <c r="AY618" s="175"/>
      <c r="BB618" s="176"/>
      <c r="BC618" s="176"/>
      <c r="BD618" s="172"/>
      <c r="BE618" s="170"/>
    </row>
    <row r="619" spans="3:57">
      <c r="C619" s="167"/>
      <c r="R619" s="211"/>
      <c r="T619" s="168"/>
      <c r="U619" s="169"/>
      <c r="V619" s="170"/>
      <c r="W619" s="170"/>
      <c r="AF619" s="171"/>
      <c r="AJ619" s="172"/>
      <c r="AK619" s="170"/>
      <c r="AM619" s="168"/>
      <c r="AN619" s="168"/>
      <c r="AV619" s="173"/>
      <c r="AW619" s="174"/>
      <c r="AY619" s="175"/>
      <c r="BB619" s="176"/>
      <c r="BC619" s="176"/>
      <c r="BD619" s="172"/>
      <c r="BE619" s="170"/>
    </row>
    <row r="620" spans="3:57">
      <c r="C620" s="167"/>
      <c r="R620" s="211"/>
      <c r="T620" s="168"/>
      <c r="U620" s="169"/>
      <c r="V620" s="170"/>
      <c r="W620" s="170"/>
      <c r="AF620" s="171"/>
      <c r="AJ620" s="172"/>
      <c r="AK620" s="170"/>
      <c r="AM620" s="168"/>
      <c r="AN620" s="168"/>
      <c r="AV620" s="173"/>
      <c r="AW620" s="174"/>
      <c r="AY620" s="175"/>
      <c r="BB620" s="176"/>
      <c r="BC620" s="176"/>
      <c r="BD620" s="172"/>
      <c r="BE620" s="170"/>
    </row>
    <row r="621" spans="3:57">
      <c r="C621" s="167"/>
      <c r="R621" s="211"/>
      <c r="T621" s="168"/>
      <c r="U621" s="169"/>
      <c r="V621" s="170"/>
      <c r="W621" s="170"/>
      <c r="AF621" s="171"/>
      <c r="AJ621" s="172"/>
      <c r="AK621" s="170"/>
      <c r="AM621" s="168"/>
      <c r="AN621" s="168"/>
      <c r="AV621" s="173"/>
      <c r="AW621" s="174"/>
      <c r="AY621" s="175"/>
      <c r="BB621" s="176"/>
      <c r="BC621" s="176"/>
      <c r="BD621" s="172"/>
      <c r="BE621" s="170"/>
    </row>
    <row r="622" spans="3:57">
      <c r="C622" s="167"/>
      <c r="R622" s="211"/>
      <c r="T622" s="168"/>
      <c r="U622" s="169"/>
      <c r="V622" s="170"/>
      <c r="W622" s="170"/>
      <c r="AF622" s="171"/>
      <c r="AJ622" s="172"/>
      <c r="AK622" s="170"/>
      <c r="AM622" s="168"/>
      <c r="AN622" s="168"/>
      <c r="AV622" s="173"/>
      <c r="AW622" s="174"/>
      <c r="AY622" s="175"/>
      <c r="BB622" s="176"/>
      <c r="BC622" s="176"/>
      <c r="BD622" s="172"/>
      <c r="BE622" s="170"/>
    </row>
    <row r="623" spans="3:57">
      <c r="C623" s="167"/>
      <c r="R623" s="211"/>
      <c r="T623" s="168"/>
      <c r="U623" s="169"/>
      <c r="V623" s="170"/>
      <c r="W623" s="170"/>
      <c r="AF623" s="171"/>
      <c r="AJ623" s="172"/>
      <c r="AK623" s="170"/>
      <c r="AM623" s="168"/>
      <c r="AN623" s="168"/>
      <c r="AV623" s="173"/>
      <c r="AW623" s="174"/>
      <c r="AY623" s="175"/>
      <c r="BB623" s="176"/>
      <c r="BC623" s="176"/>
      <c r="BD623" s="172"/>
      <c r="BE623" s="170"/>
    </row>
    <row r="624" spans="3:57">
      <c r="C624" s="167"/>
      <c r="R624" s="211"/>
      <c r="T624" s="168"/>
      <c r="U624" s="169"/>
      <c r="V624" s="170"/>
      <c r="W624" s="170"/>
      <c r="AF624" s="171"/>
      <c r="AJ624" s="172"/>
      <c r="AK624" s="170"/>
      <c r="AM624" s="168"/>
      <c r="AN624" s="168"/>
      <c r="AV624" s="173"/>
      <c r="AW624" s="174"/>
      <c r="AY624" s="175"/>
      <c r="BB624" s="176"/>
      <c r="BC624" s="176"/>
      <c r="BD624" s="172"/>
      <c r="BE624" s="170"/>
    </row>
    <row r="625" spans="3:57">
      <c r="C625" s="167"/>
      <c r="R625" s="211"/>
      <c r="T625" s="168"/>
      <c r="U625" s="169"/>
      <c r="V625" s="170"/>
      <c r="W625" s="170"/>
      <c r="AF625" s="171"/>
      <c r="AJ625" s="172"/>
      <c r="AK625" s="170"/>
      <c r="AM625" s="168"/>
      <c r="AN625" s="168"/>
      <c r="AV625" s="173"/>
      <c r="AW625" s="174"/>
      <c r="AY625" s="175"/>
      <c r="BB625" s="176"/>
      <c r="BC625" s="176"/>
      <c r="BD625" s="172"/>
      <c r="BE625" s="170"/>
    </row>
    <row r="626" spans="3:57">
      <c r="C626" s="167"/>
      <c r="R626" s="211"/>
      <c r="T626" s="168"/>
      <c r="U626" s="169"/>
      <c r="V626" s="170"/>
      <c r="W626" s="170"/>
      <c r="AF626" s="171"/>
      <c r="AJ626" s="172"/>
      <c r="AK626" s="170"/>
      <c r="AM626" s="168"/>
      <c r="AN626" s="168"/>
      <c r="AV626" s="173"/>
      <c r="AW626" s="174"/>
      <c r="AY626" s="175"/>
      <c r="BB626" s="176"/>
      <c r="BC626" s="176"/>
      <c r="BD626" s="172"/>
      <c r="BE626" s="170"/>
    </row>
    <row r="627" spans="3:57">
      <c r="C627" s="167"/>
      <c r="R627" s="211"/>
      <c r="T627" s="168"/>
      <c r="U627" s="169"/>
      <c r="V627" s="170"/>
      <c r="W627" s="170"/>
      <c r="AF627" s="171"/>
      <c r="AJ627" s="172"/>
      <c r="AK627" s="170"/>
      <c r="AM627" s="168"/>
      <c r="AN627" s="168"/>
      <c r="AV627" s="173"/>
      <c r="AW627" s="174"/>
      <c r="AY627" s="175"/>
      <c r="BB627" s="176"/>
      <c r="BC627" s="176"/>
      <c r="BD627" s="172"/>
      <c r="BE627" s="170"/>
    </row>
    <row r="628" spans="3:57">
      <c r="C628" s="167"/>
      <c r="R628" s="211"/>
      <c r="T628" s="168"/>
      <c r="U628" s="169"/>
      <c r="V628" s="170"/>
      <c r="W628" s="170"/>
      <c r="AF628" s="171"/>
      <c r="AJ628" s="172"/>
      <c r="AK628" s="170"/>
      <c r="AM628" s="168"/>
      <c r="AN628" s="168"/>
      <c r="AV628" s="173"/>
      <c r="AW628" s="174"/>
      <c r="AY628" s="175"/>
      <c r="BB628" s="176"/>
      <c r="BC628" s="176"/>
      <c r="BD628" s="172"/>
      <c r="BE628" s="170"/>
    </row>
    <row r="629" spans="3:57">
      <c r="C629" s="167"/>
      <c r="R629" s="211"/>
      <c r="T629" s="168"/>
      <c r="U629" s="169"/>
      <c r="V629" s="170"/>
      <c r="W629" s="170"/>
      <c r="AF629" s="171"/>
      <c r="AJ629" s="172"/>
      <c r="AK629" s="170"/>
      <c r="AM629" s="168"/>
      <c r="AN629" s="168"/>
      <c r="AV629" s="173"/>
      <c r="AW629" s="174"/>
      <c r="AY629" s="175"/>
      <c r="BB629" s="176"/>
      <c r="BC629" s="176"/>
      <c r="BD629" s="172"/>
      <c r="BE629" s="170"/>
    </row>
    <row r="630" spans="3:57">
      <c r="C630" s="167"/>
      <c r="R630" s="211"/>
      <c r="T630" s="168"/>
      <c r="U630" s="169"/>
      <c r="V630" s="170"/>
      <c r="W630" s="170"/>
      <c r="AF630" s="171"/>
      <c r="AJ630" s="172"/>
      <c r="AK630" s="170"/>
      <c r="AM630" s="168"/>
      <c r="AN630" s="168"/>
      <c r="AV630" s="173"/>
      <c r="AW630" s="174"/>
      <c r="AY630" s="175"/>
      <c r="BB630" s="176"/>
      <c r="BC630" s="176"/>
      <c r="BD630" s="172"/>
      <c r="BE630" s="170"/>
    </row>
    <row r="631" spans="3:57">
      <c r="C631" s="167"/>
      <c r="R631" s="211"/>
      <c r="T631" s="168"/>
      <c r="U631" s="169"/>
      <c r="V631" s="170"/>
      <c r="W631" s="170"/>
      <c r="AF631" s="171"/>
      <c r="AJ631" s="172"/>
      <c r="AK631" s="170"/>
      <c r="AM631" s="168"/>
      <c r="AN631" s="168"/>
      <c r="AV631" s="173"/>
      <c r="AW631" s="174"/>
      <c r="AY631" s="175"/>
      <c r="BB631" s="176"/>
      <c r="BC631" s="176"/>
      <c r="BD631" s="172"/>
      <c r="BE631" s="170"/>
    </row>
    <row r="632" spans="3:57">
      <c r="C632" s="167"/>
      <c r="R632" s="211"/>
      <c r="T632" s="168"/>
      <c r="U632" s="169"/>
      <c r="V632" s="170"/>
      <c r="W632" s="170"/>
      <c r="AF632" s="171"/>
      <c r="AJ632" s="172"/>
      <c r="AK632" s="170"/>
      <c r="AM632" s="168"/>
      <c r="AN632" s="168"/>
      <c r="AV632" s="173"/>
      <c r="AW632" s="174"/>
      <c r="AY632" s="175"/>
      <c r="BB632" s="176"/>
      <c r="BC632" s="176"/>
      <c r="BD632" s="172"/>
      <c r="BE632" s="170"/>
    </row>
    <row r="633" spans="3:57">
      <c r="C633" s="167"/>
      <c r="R633" s="211"/>
      <c r="T633" s="168"/>
      <c r="U633" s="169"/>
      <c r="V633" s="170"/>
      <c r="W633" s="170"/>
      <c r="AF633" s="171"/>
      <c r="AJ633" s="172"/>
      <c r="AK633" s="170"/>
      <c r="AM633" s="168"/>
      <c r="AN633" s="168"/>
      <c r="AV633" s="173"/>
      <c r="AW633" s="174"/>
      <c r="AY633" s="175"/>
      <c r="BB633" s="176"/>
      <c r="BC633" s="176"/>
      <c r="BD633" s="172"/>
      <c r="BE633" s="170"/>
    </row>
    <row r="634" spans="3:57">
      <c r="C634" s="167"/>
      <c r="R634" s="211"/>
      <c r="T634" s="168"/>
      <c r="U634" s="169"/>
      <c r="V634" s="170"/>
      <c r="W634" s="170"/>
      <c r="AF634" s="171"/>
      <c r="AJ634" s="172"/>
      <c r="AK634" s="170"/>
      <c r="AM634" s="168"/>
      <c r="AN634" s="168"/>
      <c r="AV634" s="173"/>
      <c r="AW634" s="174"/>
      <c r="AY634" s="175"/>
      <c r="BB634" s="176"/>
      <c r="BC634" s="176"/>
      <c r="BD634" s="172"/>
      <c r="BE634" s="170"/>
    </row>
    <row r="635" spans="3:57">
      <c r="C635" s="167"/>
      <c r="R635" s="211"/>
      <c r="T635" s="168"/>
      <c r="U635" s="169"/>
      <c r="V635" s="170"/>
      <c r="W635" s="170"/>
      <c r="AF635" s="171"/>
      <c r="AJ635" s="172"/>
      <c r="AK635" s="170"/>
      <c r="AM635" s="168"/>
      <c r="AN635" s="168"/>
      <c r="AV635" s="173"/>
      <c r="AW635" s="174"/>
      <c r="AY635" s="175"/>
      <c r="BB635" s="176"/>
      <c r="BC635" s="176"/>
      <c r="BD635" s="172"/>
      <c r="BE635" s="170"/>
    </row>
    <row r="636" spans="3:57">
      <c r="C636" s="167"/>
      <c r="R636" s="211"/>
      <c r="T636" s="168"/>
      <c r="U636" s="169"/>
      <c r="V636" s="170"/>
      <c r="W636" s="170"/>
      <c r="AF636" s="171"/>
      <c r="AJ636" s="172"/>
      <c r="AK636" s="170"/>
      <c r="AM636" s="168"/>
      <c r="AN636" s="168"/>
      <c r="AV636" s="173"/>
      <c r="AW636" s="174"/>
      <c r="AY636" s="175"/>
      <c r="BB636" s="176"/>
      <c r="BC636" s="176"/>
      <c r="BD636" s="172"/>
      <c r="BE636" s="170"/>
    </row>
    <row r="637" spans="3:57">
      <c r="C637" s="167"/>
      <c r="R637" s="211"/>
      <c r="T637" s="168"/>
      <c r="U637" s="169"/>
      <c r="V637" s="170"/>
      <c r="W637" s="170"/>
      <c r="AF637" s="171"/>
      <c r="AJ637" s="172"/>
      <c r="AK637" s="170"/>
      <c r="AM637" s="168"/>
      <c r="AN637" s="168"/>
      <c r="AV637" s="173"/>
      <c r="AW637" s="174"/>
      <c r="AY637" s="175"/>
      <c r="BB637" s="176"/>
      <c r="BC637" s="176"/>
      <c r="BD637" s="172"/>
      <c r="BE637" s="170"/>
    </row>
    <row r="638" spans="3:57">
      <c r="C638" s="167"/>
      <c r="R638" s="211"/>
      <c r="T638" s="168"/>
      <c r="U638" s="169"/>
      <c r="V638" s="170"/>
      <c r="W638" s="170"/>
      <c r="AF638" s="171"/>
      <c r="AJ638" s="172"/>
      <c r="AK638" s="170"/>
      <c r="AM638" s="168"/>
      <c r="AN638" s="168"/>
      <c r="AV638" s="173"/>
      <c r="AW638" s="174"/>
      <c r="AY638" s="175"/>
      <c r="BB638" s="176"/>
      <c r="BC638" s="176"/>
      <c r="BD638" s="172"/>
      <c r="BE638" s="170"/>
    </row>
    <row r="639" spans="3:57">
      <c r="C639" s="167"/>
      <c r="R639" s="211"/>
      <c r="T639" s="168"/>
      <c r="U639" s="169"/>
      <c r="V639" s="170"/>
      <c r="W639" s="170"/>
      <c r="AF639" s="171"/>
      <c r="AJ639" s="172"/>
      <c r="AK639" s="170"/>
      <c r="AM639" s="168"/>
      <c r="AN639" s="168"/>
      <c r="AV639" s="173"/>
      <c r="AW639" s="174"/>
      <c r="AY639" s="175"/>
      <c r="BB639" s="176"/>
      <c r="BC639" s="176"/>
      <c r="BD639" s="172"/>
      <c r="BE639" s="170"/>
    </row>
    <row r="640" spans="3:57">
      <c r="C640" s="167"/>
      <c r="R640" s="211"/>
      <c r="T640" s="168"/>
      <c r="U640" s="169"/>
      <c r="V640" s="170"/>
      <c r="W640" s="170"/>
      <c r="AF640" s="171"/>
      <c r="AJ640" s="172"/>
      <c r="AK640" s="170"/>
      <c r="AM640" s="168"/>
      <c r="AN640" s="168"/>
      <c r="AV640" s="173"/>
      <c r="AW640" s="174"/>
      <c r="AY640" s="175"/>
      <c r="BB640" s="176"/>
      <c r="BC640" s="176"/>
      <c r="BD640" s="172"/>
      <c r="BE640" s="170"/>
    </row>
    <row r="641" spans="3:57">
      <c r="C641" s="167"/>
      <c r="R641" s="211"/>
      <c r="T641" s="168"/>
      <c r="U641" s="169"/>
      <c r="V641" s="170"/>
      <c r="W641" s="170"/>
      <c r="AF641" s="171"/>
      <c r="AJ641" s="172"/>
      <c r="AK641" s="170"/>
      <c r="AM641" s="168"/>
      <c r="AN641" s="168"/>
      <c r="AV641" s="173"/>
      <c r="AW641" s="174"/>
      <c r="AY641" s="175"/>
      <c r="BB641" s="176"/>
      <c r="BC641" s="176"/>
      <c r="BD641" s="172"/>
      <c r="BE641" s="170"/>
    </row>
    <row r="642" spans="3:57">
      <c r="C642" s="167"/>
      <c r="R642" s="211"/>
      <c r="T642" s="168"/>
      <c r="U642" s="169"/>
      <c r="V642" s="170"/>
      <c r="W642" s="170"/>
      <c r="AF642" s="171"/>
      <c r="AJ642" s="172"/>
      <c r="AK642" s="170"/>
      <c r="AM642" s="168"/>
      <c r="AN642" s="168"/>
      <c r="AV642" s="173"/>
      <c r="AW642" s="174"/>
      <c r="AY642" s="175"/>
      <c r="BB642" s="176"/>
      <c r="BC642" s="176"/>
      <c r="BD642" s="172"/>
      <c r="BE642" s="170"/>
    </row>
    <row r="643" spans="3:57">
      <c r="C643" s="167"/>
      <c r="R643" s="211"/>
      <c r="T643" s="168"/>
      <c r="U643" s="169"/>
      <c r="V643" s="170"/>
      <c r="W643" s="170"/>
      <c r="AF643" s="171"/>
      <c r="AJ643" s="172"/>
      <c r="AK643" s="170"/>
      <c r="AM643" s="168"/>
      <c r="AN643" s="168"/>
      <c r="AV643" s="173"/>
      <c r="AW643" s="174"/>
      <c r="AY643" s="175"/>
      <c r="BB643" s="176"/>
      <c r="BC643" s="176"/>
      <c r="BD643" s="172"/>
      <c r="BE643" s="170"/>
    </row>
    <row r="644" spans="3:57">
      <c r="C644" s="167"/>
      <c r="R644" s="211"/>
      <c r="T644" s="168"/>
      <c r="U644" s="169"/>
      <c r="V644" s="170"/>
      <c r="W644" s="170"/>
      <c r="AF644" s="171"/>
      <c r="AJ644" s="172"/>
      <c r="AK644" s="170"/>
      <c r="AM644" s="168"/>
      <c r="AN644" s="168"/>
      <c r="AV644" s="173"/>
      <c r="AW644" s="174"/>
      <c r="AY644" s="175"/>
      <c r="BB644" s="176"/>
      <c r="BC644" s="176"/>
      <c r="BD644" s="172"/>
      <c r="BE644" s="170"/>
    </row>
    <row r="645" spans="3:57">
      <c r="C645" s="167"/>
      <c r="R645" s="211"/>
      <c r="T645" s="168"/>
      <c r="U645" s="169"/>
      <c r="V645" s="170"/>
      <c r="W645" s="170"/>
      <c r="AF645" s="171"/>
      <c r="AJ645" s="172"/>
      <c r="AK645" s="170"/>
      <c r="AM645" s="168"/>
      <c r="AN645" s="168"/>
      <c r="AV645" s="173"/>
      <c r="AW645" s="174"/>
      <c r="AY645" s="175"/>
      <c r="BB645" s="176"/>
      <c r="BC645" s="176"/>
      <c r="BD645" s="172"/>
      <c r="BE645" s="170"/>
    </row>
    <row r="646" spans="3:57">
      <c r="C646" s="167"/>
      <c r="R646" s="211"/>
      <c r="T646" s="168"/>
      <c r="U646" s="169"/>
      <c r="V646" s="170"/>
      <c r="W646" s="170"/>
      <c r="AF646" s="171"/>
      <c r="AJ646" s="172"/>
      <c r="AK646" s="170"/>
      <c r="AM646" s="168"/>
      <c r="AN646" s="168"/>
      <c r="AV646" s="173"/>
      <c r="AW646" s="174"/>
      <c r="AY646" s="175"/>
      <c r="BB646" s="176"/>
      <c r="BC646" s="176"/>
      <c r="BD646" s="172"/>
      <c r="BE646" s="170"/>
    </row>
    <row r="647" spans="3:57">
      <c r="C647" s="167"/>
      <c r="R647" s="211"/>
      <c r="T647" s="168"/>
      <c r="U647" s="169"/>
      <c r="V647" s="170"/>
      <c r="W647" s="170"/>
      <c r="AF647" s="171"/>
      <c r="AJ647" s="172"/>
      <c r="AK647" s="170"/>
      <c r="AM647" s="168"/>
      <c r="AN647" s="168"/>
      <c r="AV647" s="173"/>
      <c r="AW647" s="174"/>
      <c r="AY647" s="175"/>
      <c r="BB647" s="176"/>
      <c r="BC647" s="176"/>
      <c r="BD647" s="172"/>
      <c r="BE647" s="170"/>
    </row>
    <row r="648" spans="3:57">
      <c r="C648" s="167"/>
      <c r="R648" s="211"/>
      <c r="T648" s="168"/>
      <c r="U648" s="169"/>
      <c r="V648" s="170"/>
      <c r="W648" s="170"/>
      <c r="AF648" s="171"/>
      <c r="AJ648" s="172"/>
      <c r="AK648" s="170"/>
      <c r="AM648" s="168"/>
      <c r="AN648" s="168"/>
      <c r="AV648" s="173"/>
      <c r="AW648" s="174"/>
      <c r="AY648" s="175"/>
      <c r="BB648" s="176"/>
      <c r="BC648" s="176"/>
      <c r="BD648" s="172"/>
      <c r="BE648" s="170"/>
    </row>
    <row r="649" spans="3:57">
      <c r="C649" s="167"/>
      <c r="R649" s="211"/>
      <c r="T649" s="168"/>
      <c r="U649" s="169"/>
      <c r="V649" s="170"/>
      <c r="W649" s="170"/>
      <c r="AF649" s="171"/>
      <c r="AJ649" s="172"/>
      <c r="AK649" s="170"/>
      <c r="AM649" s="168"/>
      <c r="AN649" s="168"/>
      <c r="AV649" s="173"/>
      <c r="AW649" s="174"/>
      <c r="AY649" s="175"/>
      <c r="BB649" s="176"/>
      <c r="BC649" s="176"/>
      <c r="BD649" s="172"/>
      <c r="BE649" s="170"/>
    </row>
    <row r="650" spans="3:57">
      <c r="C650" s="167"/>
      <c r="R650" s="211"/>
      <c r="T650" s="168"/>
      <c r="U650" s="169"/>
      <c r="V650" s="170"/>
      <c r="W650" s="170"/>
      <c r="AF650" s="171"/>
      <c r="AJ650" s="172"/>
      <c r="AK650" s="170"/>
      <c r="AM650" s="168"/>
      <c r="AN650" s="168"/>
      <c r="AV650" s="173"/>
      <c r="AW650" s="174"/>
      <c r="AY650" s="175"/>
      <c r="BB650" s="176"/>
      <c r="BC650" s="176"/>
      <c r="BD650" s="172"/>
      <c r="BE650" s="170"/>
    </row>
    <row r="651" spans="3:57">
      <c r="C651" s="167"/>
      <c r="R651" s="211"/>
      <c r="T651" s="168"/>
      <c r="U651" s="169"/>
      <c r="V651" s="170"/>
      <c r="W651" s="170"/>
      <c r="AF651" s="171"/>
      <c r="AJ651" s="172"/>
      <c r="AK651" s="170"/>
      <c r="AM651" s="168"/>
      <c r="AN651" s="168"/>
      <c r="AV651" s="173"/>
      <c r="AW651" s="174"/>
      <c r="AY651" s="175"/>
      <c r="BB651" s="176"/>
      <c r="BC651" s="176"/>
      <c r="BD651" s="172"/>
      <c r="BE651" s="170"/>
    </row>
    <row r="652" spans="3:57">
      <c r="C652" s="167"/>
      <c r="R652" s="211"/>
      <c r="T652" s="168"/>
      <c r="U652" s="169"/>
      <c r="V652" s="170"/>
      <c r="W652" s="170"/>
      <c r="AF652" s="171"/>
      <c r="AJ652" s="172"/>
      <c r="AK652" s="170"/>
      <c r="AM652" s="168"/>
      <c r="AN652" s="168"/>
      <c r="AV652" s="173"/>
      <c r="AW652" s="174"/>
      <c r="AY652" s="175"/>
      <c r="BB652" s="176"/>
      <c r="BC652" s="176"/>
      <c r="BD652" s="172"/>
      <c r="BE652" s="170"/>
    </row>
    <row r="653" spans="3:57">
      <c r="C653" s="167"/>
      <c r="R653" s="211"/>
      <c r="T653" s="168"/>
      <c r="U653" s="169"/>
      <c r="V653" s="170"/>
      <c r="W653" s="170"/>
      <c r="AF653" s="171"/>
      <c r="AJ653" s="172"/>
      <c r="AK653" s="170"/>
      <c r="AM653" s="168"/>
      <c r="AN653" s="168"/>
      <c r="AV653" s="173"/>
      <c r="AW653" s="174"/>
      <c r="AY653" s="175"/>
      <c r="BB653" s="176"/>
      <c r="BC653" s="176"/>
      <c r="BD653" s="172"/>
      <c r="BE653" s="170"/>
    </row>
    <row r="654" spans="3:57">
      <c r="C654" s="167"/>
      <c r="R654" s="211"/>
      <c r="T654" s="168"/>
      <c r="U654" s="169"/>
      <c r="V654" s="170"/>
      <c r="W654" s="170"/>
      <c r="AF654" s="171"/>
      <c r="AJ654" s="172"/>
      <c r="AK654" s="170"/>
      <c r="AM654" s="168"/>
      <c r="AN654" s="168"/>
      <c r="AV654" s="173"/>
      <c r="AW654" s="174"/>
      <c r="AY654" s="175"/>
      <c r="BB654" s="176"/>
      <c r="BC654" s="176"/>
      <c r="BD654" s="172"/>
      <c r="BE654" s="170"/>
    </row>
    <row r="655" spans="3:57">
      <c r="C655" s="167"/>
      <c r="R655" s="211"/>
      <c r="T655" s="168"/>
      <c r="U655" s="169"/>
      <c r="V655" s="170"/>
      <c r="W655" s="170"/>
      <c r="AF655" s="171"/>
      <c r="AJ655" s="172"/>
      <c r="AK655" s="170"/>
      <c r="AM655" s="168"/>
      <c r="AN655" s="168"/>
      <c r="AV655" s="173"/>
      <c r="AW655" s="174"/>
      <c r="AY655" s="175"/>
      <c r="BB655" s="176"/>
      <c r="BC655" s="176"/>
      <c r="BD655" s="172"/>
      <c r="BE655" s="170"/>
    </row>
    <row r="656" spans="3:57">
      <c r="C656" s="167"/>
      <c r="R656" s="211"/>
      <c r="T656" s="168"/>
      <c r="U656" s="169"/>
      <c r="V656" s="170"/>
      <c r="W656" s="170"/>
      <c r="AF656" s="171"/>
      <c r="AJ656" s="172"/>
      <c r="AK656" s="170"/>
      <c r="AM656" s="168"/>
      <c r="AN656" s="168"/>
      <c r="AV656" s="173"/>
      <c r="AW656" s="174"/>
      <c r="AY656" s="175"/>
      <c r="BB656" s="176"/>
      <c r="BC656" s="176"/>
      <c r="BD656" s="172"/>
      <c r="BE656" s="170"/>
    </row>
    <row r="657" spans="3:57">
      <c r="C657" s="167"/>
      <c r="R657" s="211"/>
      <c r="T657" s="168"/>
      <c r="U657" s="169"/>
      <c r="V657" s="170"/>
      <c r="W657" s="170"/>
      <c r="AF657" s="171"/>
      <c r="AJ657" s="172"/>
      <c r="AK657" s="170"/>
      <c r="AM657" s="168"/>
      <c r="AN657" s="168"/>
      <c r="AV657" s="173"/>
      <c r="AW657" s="174"/>
      <c r="AY657" s="175"/>
      <c r="BB657" s="176"/>
      <c r="BC657" s="176"/>
      <c r="BD657" s="172"/>
      <c r="BE657" s="170"/>
    </row>
    <row r="658" spans="3:57">
      <c r="C658" s="167"/>
      <c r="R658" s="211"/>
      <c r="T658" s="168"/>
      <c r="U658" s="169"/>
      <c r="V658" s="170"/>
      <c r="W658" s="170"/>
      <c r="AF658" s="171"/>
      <c r="AJ658" s="172"/>
      <c r="AK658" s="170"/>
      <c r="AM658" s="168"/>
      <c r="AN658" s="168"/>
      <c r="AV658" s="173"/>
      <c r="AW658" s="174"/>
      <c r="AY658" s="175"/>
      <c r="BB658" s="176"/>
      <c r="BC658" s="176"/>
      <c r="BD658" s="172"/>
      <c r="BE658" s="170"/>
    </row>
    <row r="659" spans="3:57">
      <c r="C659" s="167"/>
      <c r="R659" s="211"/>
      <c r="T659" s="168"/>
      <c r="U659" s="169"/>
      <c r="V659" s="170"/>
      <c r="W659" s="170"/>
      <c r="AF659" s="171"/>
      <c r="AJ659" s="172"/>
      <c r="AK659" s="170"/>
      <c r="AM659" s="168"/>
      <c r="AN659" s="168"/>
      <c r="AV659" s="173"/>
      <c r="AW659" s="174"/>
      <c r="AY659" s="175"/>
      <c r="BB659" s="176"/>
      <c r="BC659" s="176"/>
      <c r="BD659" s="172"/>
      <c r="BE659" s="170"/>
    </row>
    <row r="660" spans="3:57">
      <c r="C660" s="167"/>
      <c r="R660" s="211"/>
      <c r="T660" s="168"/>
      <c r="U660" s="169"/>
      <c r="V660" s="170"/>
      <c r="W660" s="170"/>
      <c r="AF660" s="171"/>
      <c r="AJ660" s="172"/>
      <c r="AK660" s="170"/>
      <c r="AM660" s="168"/>
      <c r="AN660" s="168"/>
      <c r="AV660" s="173"/>
      <c r="AW660" s="174"/>
      <c r="AY660" s="175"/>
      <c r="BB660" s="176"/>
      <c r="BC660" s="176"/>
      <c r="BD660" s="172"/>
      <c r="BE660" s="170"/>
    </row>
    <row r="661" spans="3:57">
      <c r="C661" s="167"/>
      <c r="R661" s="211"/>
      <c r="T661" s="168"/>
      <c r="U661" s="169"/>
      <c r="V661" s="170"/>
      <c r="W661" s="170"/>
      <c r="AF661" s="171"/>
      <c r="AJ661" s="172"/>
      <c r="AK661" s="170"/>
      <c r="AM661" s="168"/>
      <c r="AN661" s="168"/>
      <c r="AV661" s="173"/>
      <c r="AW661" s="174"/>
      <c r="AY661" s="175"/>
      <c r="BB661" s="176"/>
      <c r="BC661" s="176"/>
      <c r="BD661" s="172"/>
      <c r="BE661" s="170"/>
    </row>
    <row r="662" spans="3:57">
      <c r="C662" s="167"/>
      <c r="R662" s="211"/>
      <c r="T662" s="168"/>
      <c r="U662" s="169"/>
      <c r="V662" s="170"/>
      <c r="W662" s="170"/>
      <c r="AF662" s="171"/>
      <c r="AJ662" s="172"/>
      <c r="AK662" s="170"/>
      <c r="AM662" s="168"/>
      <c r="AN662" s="168"/>
      <c r="AV662" s="173"/>
      <c r="AW662" s="174"/>
      <c r="AY662" s="175"/>
      <c r="BB662" s="176"/>
      <c r="BC662" s="176"/>
      <c r="BD662" s="172"/>
      <c r="BE662" s="170"/>
    </row>
    <row r="663" spans="3:57">
      <c r="C663" s="167"/>
      <c r="R663" s="211"/>
      <c r="T663" s="168"/>
      <c r="U663" s="169"/>
      <c r="V663" s="170"/>
      <c r="W663" s="170"/>
      <c r="AF663" s="171"/>
      <c r="AJ663" s="172"/>
      <c r="AK663" s="170"/>
      <c r="AM663" s="168"/>
      <c r="AN663" s="168"/>
      <c r="AV663" s="173"/>
      <c r="AW663" s="174"/>
      <c r="AY663" s="175"/>
      <c r="BB663" s="176"/>
      <c r="BC663" s="176"/>
      <c r="BD663" s="172"/>
      <c r="BE663" s="170"/>
    </row>
    <row r="664" spans="3:57">
      <c r="C664" s="167"/>
      <c r="R664" s="211"/>
      <c r="T664" s="168"/>
      <c r="U664" s="169"/>
      <c r="V664" s="170"/>
      <c r="W664" s="170"/>
      <c r="AF664" s="171"/>
      <c r="AJ664" s="172"/>
      <c r="AK664" s="170"/>
      <c r="AM664" s="168"/>
      <c r="AN664" s="168"/>
      <c r="AV664" s="173"/>
      <c r="AW664" s="174"/>
      <c r="AY664" s="175"/>
      <c r="BB664" s="176"/>
      <c r="BC664" s="176"/>
      <c r="BD664" s="172"/>
      <c r="BE664" s="170"/>
    </row>
    <row r="665" spans="3:57">
      <c r="C665" s="167"/>
      <c r="R665" s="211"/>
      <c r="T665" s="168"/>
      <c r="U665" s="169"/>
      <c r="V665" s="170"/>
      <c r="W665" s="170"/>
      <c r="AF665" s="171"/>
      <c r="AJ665" s="172"/>
      <c r="AK665" s="170"/>
      <c r="AM665" s="168"/>
      <c r="AN665" s="168"/>
      <c r="AV665" s="173"/>
      <c r="AW665" s="174"/>
      <c r="AY665" s="175"/>
      <c r="BB665" s="176"/>
      <c r="BC665" s="176"/>
      <c r="BD665" s="172"/>
      <c r="BE665" s="170"/>
    </row>
    <row r="666" spans="3:57">
      <c r="C666" s="167"/>
      <c r="R666" s="211"/>
      <c r="T666" s="168"/>
      <c r="U666" s="169"/>
      <c r="V666" s="170"/>
      <c r="W666" s="170"/>
      <c r="AF666" s="171"/>
      <c r="AJ666" s="172"/>
      <c r="AK666" s="170"/>
      <c r="AM666" s="168"/>
      <c r="AN666" s="168"/>
      <c r="AV666" s="173"/>
      <c r="AW666" s="174"/>
      <c r="AY666" s="175"/>
      <c r="BB666" s="176"/>
      <c r="BC666" s="176"/>
      <c r="BD666" s="172"/>
      <c r="BE666" s="170"/>
    </row>
    <row r="667" spans="3:57">
      <c r="C667" s="167"/>
      <c r="R667" s="211"/>
      <c r="T667" s="168"/>
      <c r="U667" s="169"/>
      <c r="V667" s="170"/>
      <c r="W667" s="170"/>
      <c r="AF667" s="171"/>
      <c r="AJ667" s="172"/>
      <c r="AK667" s="170"/>
      <c r="AM667" s="168"/>
      <c r="AN667" s="168"/>
      <c r="AV667" s="173"/>
      <c r="AW667" s="174"/>
      <c r="AY667" s="175"/>
      <c r="BB667" s="176"/>
      <c r="BC667" s="176"/>
      <c r="BD667" s="172"/>
      <c r="BE667" s="170"/>
    </row>
    <row r="668" spans="3:57">
      <c r="C668" s="167"/>
      <c r="R668" s="211"/>
      <c r="T668" s="168"/>
      <c r="U668" s="169"/>
      <c r="V668" s="170"/>
      <c r="W668" s="170"/>
      <c r="AF668" s="171"/>
      <c r="AJ668" s="172"/>
      <c r="AK668" s="170"/>
      <c r="AM668" s="168"/>
      <c r="AN668" s="168"/>
      <c r="AV668" s="173"/>
      <c r="AW668" s="174"/>
      <c r="AY668" s="175"/>
      <c r="BB668" s="176"/>
      <c r="BC668" s="176"/>
      <c r="BD668" s="172"/>
      <c r="BE668" s="170"/>
    </row>
    <row r="669" spans="3:57">
      <c r="C669" s="167"/>
      <c r="R669" s="211"/>
      <c r="T669" s="168"/>
      <c r="U669" s="169"/>
      <c r="V669" s="170"/>
      <c r="W669" s="170"/>
      <c r="AF669" s="171"/>
      <c r="AJ669" s="172"/>
      <c r="AK669" s="170"/>
      <c r="AM669" s="168"/>
      <c r="AN669" s="168"/>
      <c r="AV669" s="173"/>
      <c r="AW669" s="174"/>
      <c r="AY669" s="175"/>
      <c r="BB669" s="176"/>
      <c r="BC669" s="176"/>
      <c r="BD669" s="172"/>
      <c r="BE669" s="170"/>
    </row>
    <row r="670" spans="3:57">
      <c r="C670" s="167"/>
      <c r="R670" s="211"/>
      <c r="T670" s="168"/>
      <c r="U670" s="169"/>
      <c r="V670" s="170"/>
      <c r="W670" s="170"/>
      <c r="AF670" s="171"/>
      <c r="AJ670" s="172"/>
      <c r="AK670" s="170"/>
      <c r="AM670" s="168"/>
      <c r="AN670" s="168"/>
      <c r="AV670" s="173"/>
      <c r="AW670" s="174"/>
      <c r="AY670" s="175"/>
      <c r="BB670" s="176"/>
      <c r="BC670" s="176"/>
      <c r="BD670" s="172"/>
      <c r="BE670" s="170"/>
    </row>
    <row r="671" spans="3:57">
      <c r="C671" s="167"/>
      <c r="R671" s="211"/>
      <c r="T671" s="168"/>
      <c r="U671" s="169"/>
      <c r="V671" s="170"/>
      <c r="W671" s="170"/>
      <c r="AF671" s="171"/>
      <c r="AJ671" s="172"/>
      <c r="AK671" s="170"/>
      <c r="AM671" s="168"/>
      <c r="AN671" s="168"/>
      <c r="AV671" s="173"/>
      <c r="AW671" s="174"/>
      <c r="AY671" s="175"/>
      <c r="BB671" s="176"/>
      <c r="BC671" s="176"/>
      <c r="BD671" s="172"/>
      <c r="BE671" s="170"/>
    </row>
    <row r="672" spans="3:57">
      <c r="C672" s="167"/>
      <c r="R672" s="211"/>
      <c r="T672" s="168"/>
      <c r="U672" s="169"/>
      <c r="V672" s="170"/>
      <c r="W672" s="170"/>
      <c r="AF672" s="171"/>
      <c r="AJ672" s="172"/>
      <c r="AK672" s="170"/>
      <c r="AM672" s="168"/>
      <c r="AN672" s="168"/>
      <c r="AV672" s="173"/>
      <c r="AW672" s="174"/>
      <c r="AY672" s="175"/>
      <c r="BB672" s="176"/>
      <c r="BC672" s="176"/>
      <c r="BD672" s="172"/>
      <c r="BE672" s="170"/>
    </row>
    <row r="673" spans="3:57">
      <c r="C673" s="167"/>
      <c r="R673" s="211"/>
      <c r="T673" s="168"/>
      <c r="U673" s="169"/>
      <c r="V673" s="170"/>
      <c r="W673" s="170"/>
      <c r="AF673" s="171"/>
      <c r="AJ673" s="172"/>
      <c r="AK673" s="170"/>
      <c r="AM673" s="168"/>
      <c r="AN673" s="168"/>
      <c r="AV673" s="173"/>
      <c r="AW673" s="174"/>
      <c r="AY673" s="175"/>
      <c r="BB673" s="176"/>
      <c r="BC673" s="176"/>
      <c r="BD673" s="172"/>
      <c r="BE673" s="170"/>
    </row>
    <row r="674" spans="3:57">
      <c r="C674" s="167"/>
      <c r="R674" s="211"/>
      <c r="T674" s="168"/>
      <c r="U674" s="169"/>
      <c r="V674" s="170"/>
      <c r="W674" s="170"/>
      <c r="AF674" s="171"/>
      <c r="AJ674" s="172"/>
      <c r="AK674" s="170"/>
      <c r="AM674" s="168"/>
      <c r="AN674" s="168"/>
      <c r="AV674" s="173"/>
      <c r="AW674" s="174"/>
      <c r="AY674" s="175"/>
      <c r="BB674" s="176"/>
      <c r="BC674" s="176"/>
      <c r="BD674" s="172"/>
      <c r="BE674" s="170"/>
    </row>
    <row r="675" spans="3:57">
      <c r="C675" s="167"/>
      <c r="R675" s="211"/>
      <c r="T675" s="168"/>
      <c r="U675" s="169"/>
      <c r="V675" s="170"/>
      <c r="W675" s="170"/>
      <c r="AF675" s="171"/>
      <c r="AJ675" s="172"/>
      <c r="AK675" s="170"/>
      <c r="AM675" s="168"/>
      <c r="AN675" s="168"/>
      <c r="AV675" s="173"/>
      <c r="AW675" s="174"/>
      <c r="AY675" s="175"/>
      <c r="BB675" s="176"/>
      <c r="BC675" s="176"/>
      <c r="BD675" s="172"/>
      <c r="BE675" s="170"/>
    </row>
    <row r="676" spans="3:57">
      <c r="C676" s="167"/>
      <c r="R676" s="211"/>
      <c r="T676" s="168"/>
      <c r="U676" s="169"/>
      <c r="V676" s="170"/>
      <c r="W676" s="170"/>
      <c r="AF676" s="171"/>
      <c r="AJ676" s="172"/>
      <c r="AK676" s="170"/>
      <c r="AM676" s="168"/>
      <c r="AN676" s="168"/>
      <c r="AV676" s="173"/>
      <c r="AW676" s="174"/>
      <c r="AY676" s="175"/>
      <c r="BB676" s="176"/>
      <c r="BC676" s="176"/>
      <c r="BD676" s="172"/>
      <c r="BE676" s="170"/>
    </row>
    <row r="677" spans="3:57">
      <c r="C677" s="167"/>
      <c r="R677" s="211"/>
      <c r="T677" s="168"/>
      <c r="U677" s="169"/>
      <c r="V677" s="170"/>
      <c r="W677" s="170"/>
      <c r="AF677" s="171"/>
      <c r="AJ677" s="172"/>
      <c r="AK677" s="170"/>
      <c r="AM677" s="168"/>
      <c r="AN677" s="168"/>
      <c r="AV677" s="173"/>
      <c r="AW677" s="174"/>
      <c r="AY677" s="175"/>
      <c r="BB677" s="176"/>
      <c r="BC677" s="176"/>
      <c r="BD677" s="172"/>
      <c r="BE677" s="170"/>
    </row>
    <row r="678" spans="3:57">
      <c r="C678" s="167"/>
      <c r="R678" s="211"/>
      <c r="T678" s="168"/>
      <c r="U678" s="169"/>
      <c r="V678" s="170"/>
      <c r="W678" s="170"/>
      <c r="AF678" s="171"/>
      <c r="AJ678" s="172"/>
      <c r="AK678" s="170"/>
      <c r="AM678" s="168"/>
      <c r="AN678" s="168"/>
      <c r="AV678" s="173"/>
      <c r="AW678" s="174"/>
      <c r="AY678" s="175"/>
      <c r="BB678" s="176"/>
      <c r="BC678" s="176"/>
      <c r="BD678" s="172"/>
      <c r="BE678" s="170"/>
    </row>
    <row r="679" spans="3:57">
      <c r="C679" s="167"/>
      <c r="R679" s="211"/>
      <c r="T679" s="168"/>
      <c r="U679" s="169"/>
      <c r="V679" s="170"/>
      <c r="W679" s="170"/>
      <c r="AF679" s="171"/>
      <c r="AJ679" s="172"/>
      <c r="AK679" s="170"/>
      <c r="AM679" s="168"/>
      <c r="AN679" s="168"/>
      <c r="AV679" s="173"/>
      <c r="AW679" s="174"/>
      <c r="AY679" s="175"/>
      <c r="BB679" s="176"/>
      <c r="BC679" s="176"/>
      <c r="BD679" s="172"/>
      <c r="BE679" s="170"/>
    </row>
    <row r="680" spans="3:57">
      <c r="C680" s="167"/>
      <c r="R680" s="211"/>
      <c r="T680" s="168"/>
      <c r="U680" s="169"/>
      <c r="V680" s="170"/>
      <c r="W680" s="170"/>
      <c r="AF680" s="171"/>
      <c r="AJ680" s="172"/>
      <c r="AK680" s="170"/>
      <c r="AM680" s="168"/>
      <c r="AN680" s="168"/>
      <c r="AV680" s="173"/>
      <c r="AW680" s="174"/>
      <c r="AY680" s="175"/>
      <c r="BB680" s="176"/>
      <c r="BC680" s="176"/>
      <c r="BD680" s="172"/>
      <c r="BE680" s="170"/>
    </row>
    <row r="681" spans="3:57">
      <c r="C681" s="167"/>
      <c r="R681" s="211"/>
      <c r="T681" s="168"/>
      <c r="U681" s="169"/>
      <c r="V681" s="170"/>
      <c r="W681" s="170"/>
      <c r="AF681" s="171"/>
      <c r="AJ681" s="172"/>
      <c r="AK681" s="170"/>
      <c r="AM681" s="168"/>
      <c r="AN681" s="168"/>
      <c r="AV681" s="173"/>
      <c r="AW681" s="174"/>
      <c r="AY681" s="175"/>
      <c r="BB681" s="176"/>
      <c r="BC681" s="176"/>
      <c r="BD681" s="172"/>
      <c r="BE681" s="170"/>
    </row>
    <row r="682" spans="3:57">
      <c r="C682" s="167"/>
      <c r="R682" s="211"/>
      <c r="T682" s="168"/>
      <c r="U682" s="169"/>
      <c r="V682" s="170"/>
      <c r="W682" s="170"/>
      <c r="AF682" s="171"/>
      <c r="AJ682" s="172"/>
      <c r="AK682" s="170"/>
      <c r="AM682" s="168"/>
      <c r="AN682" s="168"/>
      <c r="AV682" s="173"/>
      <c r="AW682" s="174"/>
      <c r="AY682" s="175"/>
      <c r="BB682" s="176"/>
      <c r="BC682" s="176"/>
      <c r="BD682" s="172"/>
      <c r="BE682" s="170"/>
    </row>
    <row r="683" spans="3:57">
      <c r="C683" s="167"/>
      <c r="R683" s="211"/>
      <c r="T683" s="168"/>
      <c r="U683" s="169"/>
      <c r="V683" s="170"/>
      <c r="W683" s="170"/>
      <c r="AF683" s="171"/>
      <c r="AJ683" s="172"/>
      <c r="AK683" s="170"/>
      <c r="AM683" s="168"/>
      <c r="AN683" s="168"/>
      <c r="AV683" s="173"/>
      <c r="AW683" s="174"/>
      <c r="AY683" s="175"/>
      <c r="BB683" s="176"/>
      <c r="BC683" s="176"/>
      <c r="BD683" s="172"/>
      <c r="BE683" s="170"/>
    </row>
    <row r="684" spans="3:57">
      <c r="C684" s="167"/>
      <c r="R684" s="211"/>
      <c r="T684" s="168"/>
      <c r="U684" s="169"/>
      <c r="V684" s="170"/>
      <c r="W684" s="170"/>
      <c r="AF684" s="171"/>
      <c r="AJ684" s="172"/>
      <c r="AK684" s="170"/>
      <c r="AM684" s="168"/>
      <c r="AN684" s="168"/>
      <c r="AV684" s="173"/>
      <c r="AW684" s="174"/>
      <c r="AY684" s="175"/>
      <c r="BB684" s="176"/>
      <c r="BC684" s="176"/>
      <c r="BD684" s="172"/>
      <c r="BE684" s="170"/>
    </row>
    <row r="685" spans="3:57">
      <c r="C685" s="167"/>
      <c r="R685" s="211"/>
      <c r="T685" s="168"/>
      <c r="U685" s="169"/>
      <c r="V685" s="170"/>
      <c r="W685" s="170"/>
      <c r="AF685" s="171"/>
      <c r="AJ685" s="172"/>
      <c r="AK685" s="170"/>
      <c r="AM685" s="168"/>
      <c r="AN685" s="168"/>
      <c r="AV685" s="173"/>
      <c r="AW685" s="174"/>
      <c r="AY685" s="175"/>
      <c r="BB685" s="176"/>
      <c r="BC685" s="176"/>
      <c r="BD685" s="172"/>
      <c r="BE685" s="170"/>
    </row>
    <row r="686" spans="3:57">
      <c r="C686" s="167"/>
      <c r="R686" s="211"/>
      <c r="T686" s="168"/>
      <c r="U686" s="169"/>
      <c r="V686" s="170"/>
      <c r="W686" s="170"/>
      <c r="AF686" s="171"/>
      <c r="AJ686" s="172"/>
      <c r="AK686" s="170"/>
      <c r="AM686" s="168"/>
      <c r="AN686" s="168"/>
      <c r="AV686" s="173"/>
      <c r="AW686" s="174"/>
      <c r="AY686" s="175"/>
      <c r="BB686" s="176"/>
      <c r="BC686" s="176"/>
      <c r="BD686" s="172"/>
      <c r="BE686" s="170"/>
    </row>
    <row r="687" spans="3:57">
      <c r="C687" s="167"/>
      <c r="R687" s="211"/>
      <c r="T687" s="168"/>
      <c r="U687" s="169"/>
      <c r="V687" s="170"/>
      <c r="W687" s="170"/>
      <c r="AF687" s="171"/>
      <c r="AJ687" s="172"/>
      <c r="AK687" s="170"/>
      <c r="AM687" s="168"/>
      <c r="AN687" s="168"/>
      <c r="AV687" s="173"/>
      <c r="AW687" s="174"/>
      <c r="AY687" s="175"/>
      <c r="BB687" s="176"/>
      <c r="BC687" s="176"/>
      <c r="BD687" s="172"/>
      <c r="BE687" s="170"/>
    </row>
    <row r="688" spans="3:57">
      <c r="C688" s="167"/>
      <c r="R688" s="211"/>
      <c r="T688" s="168"/>
      <c r="U688" s="169"/>
      <c r="V688" s="170"/>
      <c r="W688" s="170"/>
      <c r="AF688" s="171"/>
      <c r="AJ688" s="172"/>
      <c r="AK688" s="170"/>
      <c r="AM688" s="168"/>
      <c r="AN688" s="168"/>
      <c r="AV688" s="173"/>
      <c r="AW688" s="174"/>
      <c r="AY688" s="175"/>
      <c r="BB688" s="176"/>
      <c r="BC688" s="176"/>
      <c r="BD688" s="172"/>
      <c r="BE688" s="170"/>
    </row>
    <row r="689" spans="3:57">
      <c r="C689" s="167"/>
      <c r="R689" s="211"/>
      <c r="T689" s="168"/>
      <c r="U689" s="169"/>
      <c r="V689" s="170"/>
      <c r="W689" s="170"/>
      <c r="AF689" s="171"/>
      <c r="AJ689" s="172"/>
      <c r="AK689" s="170"/>
      <c r="AM689" s="168"/>
      <c r="AN689" s="168"/>
      <c r="AV689" s="173"/>
      <c r="AW689" s="174"/>
      <c r="AY689" s="175"/>
      <c r="BB689" s="176"/>
      <c r="BC689" s="176"/>
      <c r="BD689" s="172"/>
      <c r="BE689" s="170"/>
    </row>
    <row r="690" spans="3:57">
      <c r="C690" s="167"/>
      <c r="R690" s="211"/>
      <c r="T690" s="168"/>
      <c r="U690" s="169"/>
      <c r="V690" s="170"/>
      <c r="W690" s="170"/>
      <c r="AF690" s="171"/>
      <c r="AJ690" s="172"/>
      <c r="AK690" s="170"/>
      <c r="AM690" s="168"/>
      <c r="AN690" s="168"/>
      <c r="AV690" s="173"/>
      <c r="AW690" s="174"/>
      <c r="AY690" s="175"/>
      <c r="BB690" s="176"/>
      <c r="BC690" s="176"/>
      <c r="BD690" s="172"/>
      <c r="BE690" s="170"/>
    </row>
    <row r="691" spans="3:57">
      <c r="C691" s="167"/>
      <c r="R691" s="211"/>
      <c r="T691" s="168"/>
      <c r="U691" s="169"/>
      <c r="V691" s="170"/>
      <c r="W691" s="170"/>
      <c r="AF691" s="171"/>
      <c r="AJ691" s="172"/>
      <c r="AK691" s="170"/>
      <c r="AM691" s="168"/>
      <c r="AN691" s="168"/>
      <c r="AV691" s="173"/>
      <c r="AW691" s="174"/>
      <c r="AY691" s="175"/>
      <c r="BB691" s="176"/>
      <c r="BC691" s="176"/>
      <c r="BD691" s="172"/>
      <c r="BE691" s="170"/>
    </row>
    <row r="692" spans="3:57">
      <c r="C692" s="167"/>
      <c r="R692" s="211"/>
      <c r="T692" s="168"/>
      <c r="U692" s="169"/>
      <c r="V692" s="170"/>
      <c r="W692" s="170"/>
      <c r="AF692" s="171"/>
      <c r="AJ692" s="172"/>
      <c r="AK692" s="170"/>
      <c r="AM692" s="168"/>
      <c r="AN692" s="168"/>
      <c r="AV692" s="173"/>
      <c r="AW692" s="174"/>
      <c r="AY692" s="175"/>
      <c r="BB692" s="176"/>
      <c r="BC692" s="176"/>
      <c r="BD692" s="172"/>
      <c r="BE692" s="170"/>
    </row>
    <row r="693" spans="3:57">
      <c r="C693" s="167"/>
      <c r="R693" s="211"/>
      <c r="T693" s="168"/>
      <c r="U693" s="169"/>
      <c r="V693" s="170"/>
      <c r="W693" s="170"/>
      <c r="AF693" s="171"/>
      <c r="AJ693" s="172"/>
      <c r="AK693" s="170"/>
      <c r="AM693" s="168"/>
      <c r="AN693" s="168"/>
      <c r="AV693" s="173"/>
      <c r="AW693" s="174"/>
      <c r="AY693" s="175"/>
      <c r="BB693" s="176"/>
      <c r="BC693" s="176"/>
      <c r="BD693" s="172"/>
      <c r="BE693" s="170"/>
    </row>
    <row r="694" spans="3:57">
      <c r="C694" s="167"/>
      <c r="R694" s="211"/>
      <c r="T694" s="168"/>
      <c r="U694" s="169"/>
      <c r="V694" s="170"/>
      <c r="W694" s="170"/>
      <c r="AF694" s="171"/>
      <c r="AJ694" s="172"/>
      <c r="AK694" s="170"/>
      <c r="AM694" s="168"/>
      <c r="AN694" s="168"/>
      <c r="AV694" s="173"/>
      <c r="AW694" s="174"/>
      <c r="AY694" s="175"/>
      <c r="BB694" s="176"/>
      <c r="BC694" s="176"/>
      <c r="BD694" s="172"/>
      <c r="BE694" s="170"/>
    </row>
    <row r="695" spans="3:57">
      <c r="C695" s="167"/>
      <c r="R695" s="211"/>
      <c r="T695" s="168"/>
      <c r="U695" s="169"/>
      <c r="V695" s="170"/>
      <c r="W695" s="170"/>
      <c r="AF695" s="171"/>
      <c r="AJ695" s="172"/>
      <c r="AK695" s="170"/>
      <c r="AM695" s="168"/>
      <c r="AN695" s="168"/>
      <c r="AV695" s="173"/>
      <c r="AW695" s="174"/>
      <c r="AY695" s="175"/>
      <c r="BB695" s="176"/>
      <c r="BC695" s="176"/>
      <c r="BD695" s="172"/>
      <c r="BE695" s="170"/>
    </row>
    <row r="696" spans="3:57">
      <c r="C696" s="167"/>
      <c r="R696" s="211"/>
      <c r="T696" s="168"/>
      <c r="U696" s="169"/>
      <c r="V696" s="170"/>
      <c r="W696" s="170"/>
      <c r="AF696" s="171"/>
      <c r="AJ696" s="172"/>
      <c r="AK696" s="170"/>
      <c r="AM696" s="168"/>
      <c r="AN696" s="168"/>
      <c r="AV696" s="173"/>
      <c r="AW696" s="174"/>
      <c r="AY696" s="175"/>
      <c r="BB696" s="176"/>
      <c r="BC696" s="176"/>
      <c r="BD696" s="172"/>
      <c r="BE696" s="170"/>
    </row>
    <row r="697" spans="3:57">
      <c r="C697" s="167"/>
      <c r="R697" s="211"/>
      <c r="T697" s="168"/>
      <c r="U697" s="169"/>
      <c r="V697" s="170"/>
      <c r="W697" s="170"/>
      <c r="AF697" s="171"/>
      <c r="AJ697" s="172"/>
      <c r="AK697" s="170"/>
      <c r="AM697" s="168"/>
      <c r="AN697" s="168"/>
      <c r="AV697" s="173"/>
      <c r="AW697" s="174"/>
      <c r="AY697" s="175"/>
      <c r="BB697" s="176"/>
      <c r="BC697" s="176"/>
      <c r="BD697" s="172"/>
      <c r="BE697" s="170"/>
    </row>
    <row r="698" spans="3:57">
      <c r="C698" s="167"/>
      <c r="R698" s="211"/>
      <c r="T698" s="168"/>
      <c r="U698" s="169"/>
      <c r="V698" s="170"/>
      <c r="W698" s="170"/>
      <c r="AF698" s="171"/>
      <c r="AJ698" s="172"/>
      <c r="AK698" s="170"/>
      <c r="AM698" s="168"/>
      <c r="AN698" s="168"/>
      <c r="AV698" s="173"/>
      <c r="AW698" s="174"/>
      <c r="AY698" s="175"/>
      <c r="BB698" s="176"/>
      <c r="BC698" s="176"/>
      <c r="BD698" s="172"/>
      <c r="BE698" s="170"/>
    </row>
    <row r="699" spans="3:57">
      <c r="C699" s="167"/>
      <c r="R699" s="211"/>
      <c r="T699" s="168"/>
      <c r="U699" s="169"/>
      <c r="V699" s="170"/>
      <c r="W699" s="170"/>
      <c r="AF699" s="171"/>
      <c r="AJ699" s="172"/>
      <c r="AK699" s="170"/>
      <c r="AM699" s="168"/>
      <c r="AN699" s="168"/>
      <c r="AV699" s="173"/>
      <c r="AW699" s="174"/>
      <c r="AY699" s="175"/>
      <c r="BB699" s="176"/>
      <c r="BC699" s="176"/>
      <c r="BD699" s="172"/>
      <c r="BE699" s="170"/>
    </row>
    <row r="700" spans="3:57">
      <c r="C700" s="167"/>
      <c r="R700" s="211"/>
      <c r="T700" s="168"/>
      <c r="U700" s="169"/>
      <c r="V700" s="170"/>
      <c r="W700" s="170"/>
      <c r="AF700" s="171"/>
      <c r="AJ700" s="172"/>
      <c r="AK700" s="170"/>
      <c r="AM700" s="168"/>
      <c r="AN700" s="168"/>
      <c r="AV700" s="173"/>
      <c r="AW700" s="174"/>
      <c r="AY700" s="175"/>
      <c r="BB700" s="176"/>
      <c r="BC700" s="176"/>
      <c r="BD700" s="172"/>
      <c r="BE700" s="170"/>
    </row>
    <row r="701" spans="3:57">
      <c r="C701" s="167"/>
      <c r="R701" s="211"/>
      <c r="T701" s="168"/>
      <c r="U701" s="169"/>
      <c r="V701" s="170"/>
      <c r="W701" s="170"/>
      <c r="AF701" s="171"/>
      <c r="AJ701" s="172"/>
      <c r="AK701" s="170"/>
      <c r="AM701" s="168"/>
      <c r="AN701" s="168"/>
      <c r="AV701" s="173"/>
      <c r="AW701" s="174"/>
      <c r="AY701" s="175"/>
      <c r="BB701" s="176"/>
      <c r="BC701" s="176"/>
      <c r="BD701" s="172"/>
      <c r="BE701" s="170"/>
    </row>
    <row r="702" spans="3:57">
      <c r="C702" s="167"/>
      <c r="R702" s="211"/>
      <c r="T702" s="168"/>
      <c r="U702" s="169"/>
      <c r="V702" s="170"/>
      <c r="W702" s="170"/>
      <c r="AF702" s="171"/>
      <c r="AJ702" s="172"/>
      <c r="AK702" s="170"/>
      <c r="AM702" s="168"/>
      <c r="AN702" s="168"/>
      <c r="AV702" s="173"/>
      <c r="AW702" s="174"/>
      <c r="AY702" s="175"/>
      <c r="BB702" s="176"/>
      <c r="BC702" s="176"/>
      <c r="BD702" s="172"/>
      <c r="BE702" s="170"/>
    </row>
    <row r="703" spans="3:57">
      <c r="C703" s="167"/>
      <c r="R703" s="211"/>
      <c r="T703" s="168"/>
      <c r="U703" s="169"/>
      <c r="V703" s="170"/>
      <c r="W703" s="170"/>
      <c r="AF703" s="171"/>
      <c r="AJ703" s="172"/>
      <c r="AK703" s="170"/>
      <c r="AM703" s="168"/>
      <c r="AN703" s="168"/>
      <c r="AV703" s="173"/>
      <c r="AW703" s="174"/>
      <c r="AY703" s="175"/>
      <c r="BB703" s="176"/>
      <c r="BC703" s="176"/>
      <c r="BD703" s="172"/>
      <c r="BE703" s="170"/>
    </row>
    <row r="704" spans="3:57">
      <c r="C704" s="167"/>
      <c r="R704" s="211"/>
      <c r="T704" s="168"/>
      <c r="U704" s="169"/>
      <c r="V704" s="170"/>
      <c r="W704" s="170"/>
      <c r="AF704" s="171"/>
      <c r="AJ704" s="172"/>
      <c r="AK704" s="170"/>
      <c r="AM704" s="168"/>
      <c r="AN704" s="168"/>
      <c r="AV704" s="173"/>
      <c r="AW704" s="174"/>
      <c r="AY704" s="175"/>
      <c r="BB704" s="176"/>
      <c r="BC704" s="176"/>
      <c r="BD704" s="172"/>
      <c r="BE704" s="170"/>
    </row>
    <row r="705" spans="3:57">
      <c r="C705" s="167"/>
      <c r="R705" s="211"/>
      <c r="T705" s="168"/>
      <c r="U705" s="169"/>
      <c r="V705" s="170"/>
      <c r="W705" s="170"/>
      <c r="AF705" s="171"/>
      <c r="AJ705" s="172"/>
      <c r="AK705" s="170"/>
      <c r="AM705" s="168"/>
      <c r="AN705" s="168"/>
      <c r="AV705" s="173"/>
      <c r="AW705" s="174"/>
      <c r="AY705" s="175"/>
      <c r="BB705" s="176"/>
      <c r="BC705" s="176"/>
      <c r="BD705" s="172"/>
      <c r="BE705" s="170"/>
    </row>
    <row r="706" spans="3:57">
      <c r="C706" s="167"/>
      <c r="R706" s="211"/>
      <c r="T706" s="168"/>
      <c r="U706" s="169"/>
      <c r="V706" s="170"/>
      <c r="W706" s="170"/>
      <c r="AF706" s="171"/>
      <c r="AJ706" s="172"/>
      <c r="AK706" s="170"/>
      <c r="AM706" s="168"/>
      <c r="AN706" s="168"/>
      <c r="AV706" s="173"/>
      <c r="AW706" s="174"/>
      <c r="AY706" s="175"/>
      <c r="BB706" s="176"/>
      <c r="BC706" s="176"/>
      <c r="BD706" s="172"/>
      <c r="BE706" s="170"/>
    </row>
    <row r="707" spans="3:57">
      <c r="C707" s="167"/>
      <c r="R707" s="211"/>
      <c r="T707" s="168"/>
      <c r="U707" s="169"/>
      <c r="V707" s="170"/>
      <c r="W707" s="170"/>
      <c r="AF707" s="171"/>
      <c r="AJ707" s="172"/>
      <c r="AK707" s="170"/>
      <c r="AM707" s="168"/>
      <c r="AN707" s="168"/>
      <c r="AV707" s="173"/>
      <c r="AW707" s="174"/>
      <c r="AY707" s="175"/>
      <c r="BB707" s="176"/>
      <c r="BC707" s="176"/>
      <c r="BD707" s="172"/>
      <c r="BE707" s="170"/>
    </row>
    <row r="708" spans="3:57">
      <c r="C708" s="167"/>
      <c r="R708" s="211"/>
      <c r="T708" s="168"/>
      <c r="U708" s="169"/>
      <c r="V708" s="170"/>
      <c r="W708" s="170"/>
      <c r="AF708" s="171"/>
      <c r="AJ708" s="172"/>
      <c r="AK708" s="170"/>
      <c r="AM708" s="168"/>
      <c r="AN708" s="168"/>
      <c r="AV708" s="173"/>
      <c r="AW708" s="174"/>
      <c r="AY708" s="175"/>
      <c r="BB708" s="176"/>
      <c r="BC708" s="176"/>
      <c r="BD708" s="172"/>
      <c r="BE708" s="170"/>
    </row>
    <row r="709" spans="3:57">
      <c r="C709" s="167"/>
      <c r="R709" s="211"/>
      <c r="T709" s="168"/>
      <c r="U709" s="169"/>
      <c r="V709" s="170"/>
      <c r="W709" s="170"/>
      <c r="AF709" s="171"/>
      <c r="AJ709" s="172"/>
      <c r="AK709" s="170"/>
      <c r="AM709" s="168"/>
      <c r="AN709" s="168"/>
      <c r="AV709" s="173"/>
      <c r="AW709" s="174"/>
      <c r="AY709" s="175"/>
      <c r="BB709" s="176"/>
      <c r="BC709" s="176"/>
      <c r="BD709" s="172"/>
      <c r="BE709" s="170"/>
    </row>
    <row r="710" spans="3:57">
      <c r="C710" s="167"/>
      <c r="R710" s="211"/>
      <c r="T710" s="168"/>
      <c r="U710" s="169"/>
      <c r="V710" s="170"/>
      <c r="W710" s="170"/>
      <c r="AF710" s="171"/>
      <c r="AJ710" s="172"/>
      <c r="AK710" s="170"/>
      <c r="AM710" s="168"/>
      <c r="AN710" s="168"/>
      <c r="AV710" s="173"/>
      <c r="AW710" s="174"/>
      <c r="AY710" s="175"/>
      <c r="BB710" s="176"/>
      <c r="BC710" s="176"/>
      <c r="BD710" s="172"/>
      <c r="BE710" s="170"/>
    </row>
    <row r="711" spans="3:57">
      <c r="C711" s="167"/>
      <c r="R711" s="211"/>
      <c r="T711" s="168"/>
      <c r="U711" s="169"/>
      <c r="V711" s="170"/>
      <c r="W711" s="170"/>
      <c r="AF711" s="171"/>
      <c r="AJ711" s="172"/>
      <c r="AK711" s="170"/>
      <c r="AM711" s="168"/>
      <c r="AN711" s="168"/>
      <c r="AV711" s="173"/>
      <c r="AW711" s="174"/>
      <c r="AY711" s="175"/>
      <c r="BB711" s="176"/>
      <c r="BC711" s="176"/>
      <c r="BD711" s="172"/>
      <c r="BE711" s="170"/>
    </row>
    <row r="712" spans="3:57">
      <c r="C712" s="167"/>
      <c r="R712" s="211"/>
      <c r="T712" s="168"/>
      <c r="U712" s="169"/>
      <c r="V712" s="170"/>
      <c r="W712" s="170"/>
      <c r="AF712" s="171"/>
      <c r="AJ712" s="172"/>
      <c r="AK712" s="170"/>
      <c r="AM712" s="168"/>
      <c r="AN712" s="168"/>
      <c r="AV712" s="173"/>
      <c r="AW712" s="174"/>
      <c r="AY712" s="175"/>
      <c r="BB712" s="176"/>
      <c r="BC712" s="176"/>
      <c r="BD712" s="172"/>
      <c r="BE712" s="170"/>
    </row>
    <row r="713" spans="3:57">
      <c r="C713" s="167"/>
      <c r="R713" s="211"/>
      <c r="T713" s="168"/>
      <c r="U713" s="169"/>
      <c r="V713" s="170"/>
      <c r="W713" s="170"/>
      <c r="AF713" s="171"/>
      <c r="AJ713" s="172"/>
      <c r="AK713" s="170"/>
      <c r="AM713" s="168"/>
      <c r="AN713" s="168"/>
      <c r="AV713" s="173"/>
      <c r="AW713" s="174"/>
      <c r="AY713" s="175"/>
      <c r="BB713" s="176"/>
      <c r="BC713" s="176"/>
      <c r="BD713" s="172"/>
      <c r="BE713" s="170"/>
    </row>
    <row r="714" spans="3:57">
      <c r="C714" s="167"/>
      <c r="R714" s="211"/>
      <c r="T714" s="168"/>
      <c r="U714" s="169"/>
      <c r="V714" s="170"/>
      <c r="W714" s="170"/>
      <c r="AF714" s="171"/>
      <c r="AJ714" s="172"/>
      <c r="AK714" s="170"/>
      <c r="AM714" s="168"/>
      <c r="AN714" s="168"/>
      <c r="AV714" s="173"/>
      <c r="AW714" s="174"/>
      <c r="AY714" s="175"/>
      <c r="BB714" s="176"/>
      <c r="BC714" s="176"/>
      <c r="BD714" s="172"/>
      <c r="BE714" s="170"/>
    </row>
    <row r="715" spans="3:57">
      <c r="C715" s="167"/>
      <c r="R715" s="211"/>
      <c r="T715" s="168"/>
      <c r="U715" s="169"/>
      <c r="V715" s="170"/>
      <c r="W715" s="170"/>
      <c r="AF715" s="171"/>
      <c r="AJ715" s="172"/>
      <c r="AK715" s="170"/>
      <c r="AM715" s="168"/>
      <c r="AN715" s="168"/>
      <c r="AV715" s="173"/>
      <c r="AW715" s="174"/>
      <c r="AY715" s="175"/>
      <c r="BB715" s="176"/>
      <c r="BC715" s="176"/>
      <c r="BD715" s="172"/>
      <c r="BE715" s="170"/>
    </row>
    <row r="716" spans="3:57">
      <c r="C716" s="167"/>
      <c r="R716" s="211"/>
      <c r="T716" s="168"/>
      <c r="U716" s="169"/>
      <c r="V716" s="170"/>
      <c r="W716" s="170"/>
      <c r="AF716" s="171"/>
      <c r="AJ716" s="172"/>
      <c r="AK716" s="170"/>
      <c r="AM716" s="168"/>
      <c r="AN716" s="168"/>
      <c r="AV716" s="173"/>
      <c r="AW716" s="174"/>
      <c r="AY716" s="175"/>
      <c r="BB716" s="176"/>
      <c r="BC716" s="176"/>
      <c r="BD716" s="172"/>
      <c r="BE716" s="170"/>
    </row>
    <row r="717" spans="3:57">
      <c r="C717" s="167"/>
      <c r="R717" s="211"/>
      <c r="T717" s="168"/>
      <c r="U717" s="169"/>
      <c r="V717" s="170"/>
      <c r="W717" s="170"/>
      <c r="AF717" s="171"/>
      <c r="AJ717" s="172"/>
      <c r="AK717" s="170"/>
      <c r="AM717" s="168"/>
      <c r="AN717" s="168"/>
      <c r="AV717" s="173"/>
      <c r="AW717" s="174"/>
      <c r="AY717" s="175"/>
      <c r="BB717" s="176"/>
      <c r="BC717" s="176"/>
      <c r="BD717" s="172"/>
      <c r="BE717" s="170"/>
    </row>
    <row r="718" spans="3:57">
      <c r="C718" s="167"/>
      <c r="R718" s="211"/>
      <c r="T718" s="168"/>
      <c r="U718" s="169"/>
      <c r="V718" s="170"/>
      <c r="W718" s="170"/>
      <c r="AF718" s="171"/>
      <c r="AJ718" s="172"/>
      <c r="AK718" s="170"/>
      <c r="AM718" s="168"/>
      <c r="AN718" s="168"/>
      <c r="AV718" s="173"/>
      <c r="AW718" s="174"/>
      <c r="AY718" s="175"/>
      <c r="BB718" s="176"/>
      <c r="BC718" s="176"/>
      <c r="BD718" s="172"/>
      <c r="BE718" s="170"/>
    </row>
    <row r="719" spans="3:57">
      <c r="C719" s="167"/>
      <c r="R719" s="211"/>
      <c r="T719" s="168"/>
      <c r="U719" s="169"/>
      <c r="V719" s="170"/>
      <c r="W719" s="170"/>
      <c r="AF719" s="171"/>
      <c r="AJ719" s="172"/>
      <c r="AK719" s="170"/>
      <c r="AM719" s="168"/>
      <c r="AN719" s="168"/>
      <c r="AV719" s="173"/>
      <c r="AW719" s="174"/>
      <c r="AY719" s="175"/>
      <c r="BB719" s="176"/>
      <c r="BC719" s="176"/>
      <c r="BD719" s="172"/>
      <c r="BE719" s="170"/>
    </row>
    <row r="720" spans="3:57">
      <c r="C720" s="167"/>
      <c r="R720" s="211"/>
      <c r="T720" s="168"/>
      <c r="U720" s="169"/>
      <c r="V720" s="170"/>
      <c r="W720" s="170"/>
      <c r="AF720" s="171"/>
      <c r="AJ720" s="172"/>
      <c r="AK720" s="170"/>
      <c r="AM720" s="168"/>
      <c r="AN720" s="168"/>
      <c r="AV720" s="173"/>
      <c r="AW720" s="174"/>
      <c r="AY720" s="175"/>
      <c r="BB720" s="176"/>
      <c r="BC720" s="176"/>
      <c r="BD720" s="172"/>
      <c r="BE720" s="170"/>
    </row>
    <row r="721" spans="3:57">
      <c r="C721" s="167"/>
      <c r="R721" s="211"/>
      <c r="T721" s="168"/>
      <c r="U721" s="169"/>
      <c r="V721" s="170"/>
      <c r="W721" s="170"/>
      <c r="AF721" s="171"/>
      <c r="AJ721" s="172"/>
      <c r="AK721" s="170"/>
      <c r="AM721" s="168"/>
      <c r="AN721" s="168"/>
      <c r="AV721" s="173"/>
      <c r="AW721" s="174"/>
      <c r="AY721" s="175"/>
      <c r="BB721" s="176"/>
      <c r="BC721" s="176"/>
      <c r="BD721" s="172"/>
      <c r="BE721" s="170"/>
    </row>
    <row r="722" spans="3:57">
      <c r="C722" s="167"/>
      <c r="R722" s="211"/>
      <c r="T722" s="168"/>
      <c r="U722" s="169"/>
      <c r="V722" s="170"/>
      <c r="W722" s="170"/>
      <c r="AF722" s="171"/>
      <c r="AJ722" s="172"/>
      <c r="AK722" s="170"/>
      <c r="AM722" s="168"/>
      <c r="AN722" s="168"/>
      <c r="AV722" s="173"/>
      <c r="AW722" s="174"/>
      <c r="AY722" s="175"/>
      <c r="BB722" s="176"/>
      <c r="BC722" s="176"/>
      <c r="BD722" s="172"/>
      <c r="BE722" s="170"/>
    </row>
    <row r="723" spans="3:57">
      <c r="C723" s="167"/>
      <c r="R723" s="211"/>
      <c r="T723" s="168"/>
      <c r="U723" s="169"/>
      <c r="V723" s="170"/>
      <c r="W723" s="170"/>
      <c r="AF723" s="171"/>
      <c r="AJ723" s="172"/>
      <c r="AK723" s="170"/>
      <c r="AM723" s="168"/>
      <c r="AN723" s="168"/>
      <c r="AV723" s="173"/>
      <c r="AW723" s="174"/>
      <c r="AY723" s="175"/>
      <c r="BB723" s="176"/>
      <c r="BC723" s="176"/>
      <c r="BD723" s="172"/>
      <c r="BE723" s="170"/>
    </row>
    <row r="724" spans="3:57">
      <c r="C724" s="167"/>
      <c r="R724" s="211"/>
      <c r="T724" s="168"/>
      <c r="U724" s="169"/>
      <c r="V724" s="170"/>
      <c r="W724" s="170"/>
      <c r="AF724" s="171"/>
      <c r="AJ724" s="172"/>
      <c r="AK724" s="170"/>
      <c r="AM724" s="168"/>
      <c r="AN724" s="168"/>
      <c r="AV724" s="173"/>
      <c r="AW724" s="174"/>
      <c r="AY724" s="175"/>
      <c r="BB724" s="176"/>
      <c r="BC724" s="176"/>
      <c r="BD724" s="172"/>
      <c r="BE724" s="170"/>
    </row>
    <row r="725" spans="3:57">
      <c r="C725" s="167"/>
      <c r="R725" s="211"/>
      <c r="T725" s="168"/>
      <c r="U725" s="169"/>
      <c r="V725" s="170"/>
      <c r="W725" s="170"/>
      <c r="AF725" s="171"/>
      <c r="AJ725" s="172"/>
      <c r="AK725" s="170"/>
      <c r="AM725" s="168"/>
      <c r="AN725" s="168"/>
      <c r="AV725" s="173"/>
      <c r="AW725" s="174"/>
      <c r="AY725" s="175"/>
      <c r="BB725" s="176"/>
      <c r="BC725" s="176"/>
      <c r="BD725" s="172"/>
      <c r="BE725" s="170"/>
    </row>
    <row r="726" spans="3:57">
      <c r="C726" s="167"/>
      <c r="R726" s="211"/>
      <c r="T726" s="168"/>
      <c r="U726" s="169"/>
      <c r="V726" s="170"/>
      <c r="W726" s="170"/>
      <c r="AF726" s="171"/>
      <c r="AJ726" s="172"/>
      <c r="AK726" s="170"/>
      <c r="AM726" s="168"/>
      <c r="AN726" s="168"/>
      <c r="AV726" s="173"/>
      <c r="AW726" s="174"/>
      <c r="AY726" s="175"/>
      <c r="BB726" s="176"/>
      <c r="BC726" s="176"/>
      <c r="BD726" s="172"/>
      <c r="BE726" s="170"/>
    </row>
    <row r="727" spans="3:57">
      <c r="C727" s="167"/>
      <c r="R727" s="211"/>
      <c r="T727" s="168"/>
      <c r="U727" s="169"/>
      <c r="V727" s="170"/>
      <c r="W727" s="170"/>
      <c r="AF727" s="171"/>
      <c r="AJ727" s="172"/>
      <c r="AK727" s="170"/>
      <c r="AM727" s="168"/>
      <c r="AN727" s="168"/>
      <c r="AV727" s="173"/>
      <c r="AW727" s="174"/>
      <c r="AY727" s="175"/>
      <c r="BB727" s="176"/>
      <c r="BC727" s="176"/>
      <c r="BD727" s="172"/>
      <c r="BE727" s="170"/>
    </row>
    <row r="728" spans="3:57">
      <c r="C728" s="167"/>
      <c r="R728" s="211"/>
      <c r="T728" s="168"/>
      <c r="U728" s="169"/>
      <c r="V728" s="170"/>
      <c r="W728" s="170"/>
      <c r="AF728" s="171"/>
      <c r="AJ728" s="172"/>
      <c r="AK728" s="170"/>
      <c r="AM728" s="168"/>
      <c r="AN728" s="168"/>
      <c r="AV728" s="173"/>
      <c r="AW728" s="174"/>
      <c r="AY728" s="175"/>
      <c r="BB728" s="176"/>
      <c r="BC728" s="176"/>
      <c r="BD728" s="172"/>
      <c r="BE728" s="170"/>
    </row>
    <row r="729" spans="3:57">
      <c r="C729" s="167"/>
      <c r="R729" s="211"/>
      <c r="T729" s="168"/>
      <c r="U729" s="169"/>
      <c r="V729" s="170"/>
      <c r="W729" s="170"/>
      <c r="AF729" s="171"/>
      <c r="AJ729" s="172"/>
      <c r="AK729" s="170"/>
      <c r="AM729" s="168"/>
      <c r="AN729" s="168"/>
      <c r="AV729" s="173"/>
      <c r="AW729" s="174"/>
      <c r="AY729" s="175"/>
      <c r="BB729" s="176"/>
      <c r="BC729" s="176"/>
      <c r="BD729" s="172"/>
      <c r="BE729" s="170"/>
    </row>
    <row r="730" spans="3:57">
      <c r="C730" s="167"/>
      <c r="R730" s="211"/>
      <c r="T730" s="168"/>
      <c r="U730" s="169"/>
      <c r="V730" s="170"/>
      <c r="W730" s="170"/>
      <c r="AF730" s="171"/>
      <c r="AJ730" s="172"/>
      <c r="AK730" s="170"/>
      <c r="AM730" s="168"/>
      <c r="AN730" s="168"/>
      <c r="AV730" s="173"/>
      <c r="AW730" s="174"/>
      <c r="AY730" s="175"/>
      <c r="BB730" s="176"/>
      <c r="BC730" s="176"/>
      <c r="BD730" s="172"/>
      <c r="BE730" s="170"/>
    </row>
    <row r="731" spans="3:57">
      <c r="C731" s="167"/>
      <c r="R731" s="211"/>
      <c r="T731" s="168"/>
      <c r="U731" s="169"/>
      <c r="V731" s="170"/>
      <c r="W731" s="170"/>
      <c r="AF731" s="171"/>
      <c r="AJ731" s="172"/>
      <c r="AK731" s="170"/>
      <c r="AM731" s="168"/>
      <c r="AN731" s="168"/>
      <c r="AV731" s="173"/>
      <c r="AW731" s="174"/>
      <c r="AY731" s="175"/>
      <c r="BB731" s="176"/>
      <c r="BC731" s="176"/>
      <c r="BD731" s="172"/>
      <c r="BE731" s="170"/>
    </row>
    <row r="732" spans="3:57">
      <c r="C732" s="167"/>
      <c r="R732" s="211"/>
      <c r="T732" s="168"/>
      <c r="U732" s="169"/>
      <c r="V732" s="170"/>
      <c r="W732" s="170"/>
      <c r="AF732" s="171"/>
      <c r="AJ732" s="172"/>
      <c r="AK732" s="170"/>
      <c r="AM732" s="168"/>
      <c r="AN732" s="168"/>
      <c r="AV732" s="173"/>
      <c r="AW732" s="174"/>
      <c r="AY732" s="175"/>
      <c r="BB732" s="176"/>
      <c r="BC732" s="176"/>
      <c r="BD732" s="172"/>
      <c r="BE732" s="170"/>
    </row>
    <row r="733" spans="3:57">
      <c r="C733" s="167"/>
      <c r="R733" s="211"/>
      <c r="T733" s="168"/>
      <c r="U733" s="169"/>
      <c r="V733" s="170"/>
      <c r="W733" s="170"/>
      <c r="AF733" s="171"/>
      <c r="AJ733" s="172"/>
      <c r="AK733" s="170"/>
      <c r="AM733" s="168"/>
      <c r="AN733" s="168"/>
      <c r="AV733" s="173"/>
      <c r="AW733" s="174"/>
      <c r="AY733" s="175"/>
      <c r="BB733" s="176"/>
      <c r="BC733" s="176"/>
      <c r="BD733" s="172"/>
      <c r="BE733" s="170"/>
    </row>
    <row r="734" spans="3:57">
      <c r="C734" s="167"/>
      <c r="R734" s="211"/>
      <c r="T734" s="168"/>
      <c r="U734" s="169"/>
      <c r="V734" s="170"/>
      <c r="W734" s="170"/>
      <c r="AF734" s="171"/>
      <c r="AJ734" s="172"/>
      <c r="AK734" s="170"/>
      <c r="AM734" s="168"/>
      <c r="AN734" s="168"/>
      <c r="AV734" s="173"/>
      <c r="AW734" s="174"/>
      <c r="AY734" s="175"/>
      <c r="BB734" s="176"/>
      <c r="BC734" s="176"/>
      <c r="BD734" s="172"/>
      <c r="BE734" s="170"/>
    </row>
    <row r="735" spans="3:57">
      <c r="C735" s="167"/>
      <c r="R735" s="211"/>
      <c r="T735" s="168"/>
      <c r="U735" s="169"/>
      <c r="V735" s="170"/>
      <c r="W735" s="170"/>
      <c r="AF735" s="171"/>
      <c r="AJ735" s="172"/>
      <c r="AK735" s="170"/>
      <c r="AM735" s="168"/>
      <c r="AN735" s="168"/>
      <c r="AV735" s="173"/>
      <c r="AW735" s="174"/>
      <c r="AY735" s="175"/>
      <c r="BB735" s="176"/>
      <c r="BC735" s="176"/>
      <c r="BD735" s="172"/>
      <c r="BE735" s="170"/>
    </row>
    <row r="736" spans="3:57">
      <c r="C736" s="167"/>
      <c r="R736" s="211"/>
      <c r="T736" s="168"/>
      <c r="U736" s="169"/>
      <c r="V736" s="170"/>
      <c r="W736" s="170"/>
      <c r="AF736" s="171"/>
      <c r="AJ736" s="172"/>
      <c r="AK736" s="170"/>
      <c r="AM736" s="168"/>
      <c r="AN736" s="168"/>
      <c r="AV736" s="173"/>
      <c r="AW736" s="174"/>
      <c r="AY736" s="175"/>
      <c r="BB736" s="176"/>
      <c r="BC736" s="176"/>
      <c r="BD736" s="172"/>
      <c r="BE736" s="170"/>
    </row>
    <row r="737" spans="3:57">
      <c r="C737" s="167"/>
      <c r="R737" s="211"/>
      <c r="T737" s="168"/>
      <c r="U737" s="169"/>
      <c r="V737" s="170"/>
      <c r="W737" s="170"/>
      <c r="AF737" s="171"/>
      <c r="AJ737" s="172"/>
      <c r="AK737" s="170"/>
      <c r="AM737" s="168"/>
      <c r="AN737" s="168"/>
      <c r="AV737" s="173"/>
      <c r="AW737" s="174"/>
      <c r="AY737" s="175"/>
      <c r="BB737" s="176"/>
      <c r="BC737" s="176"/>
      <c r="BD737" s="172"/>
      <c r="BE737" s="170"/>
    </row>
    <row r="738" spans="3:57">
      <c r="C738" s="167"/>
      <c r="R738" s="211"/>
      <c r="T738" s="168"/>
      <c r="U738" s="169"/>
      <c r="V738" s="170"/>
      <c r="W738" s="170"/>
      <c r="AF738" s="171"/>
      <c r="AJ738" s="172"/>
      <c r="AK738" s="170"/>
      <c r="AM738" s="168"/>
      <c r="AN738" s="168"/>
      <c r="AV738" s="173"/>
      <c r="AW738" s="174"/>
      <c r="AY738" s="175"/>
      <c r="BB738" s="176"/>
      <c r="BC738" s="176"/>
      <c r="BD738" s="172"/>
      <c r="BE738" s="170"/>
    </row>
    <row r="739" spans="3:57">
      <c r="C739" s="167"/>
      <c r="R739" s="211"/>
      <c r="T739" s="168"/>
      <c r="U739" s="169"/>
      <c r="V739" s="170"/>
      <c r="W739" s="170"/>
      <c r="AF739" s="171"/>
      <c r="AJ739" s="172"/>
      <c r="AK739" s="170"/>
      <c r="AM739" s="168"/>
      <c r="AN739" s="168"/>
      <c r="AV739" s="173"/>
      <c r="AW739" s="174"/>
      <c r="AY739" s="175"/>
      <c r="BB739" s="176"/>
      <c r="BC739" s="176"/>
      <c r="BD739" s="172"/>
      <c r="BE739" s="170"/>
    </row>
    <row r="740" spans="3:57">
      <c r="C740" s="167"/>
      <c r="R740" s="211"/>
      <c r="T740" s="168"/>
      <c r="U740" s="169"/>
      <c r="V740" s="170"/>
      <c r="W740" s="170"/>
      <c r="AF740" s="171"/>
      <c r="AJ740" s="172"/>
      <c r="AK740" s="170"/>
      <c r="AM740" s="168"/>
      <c r="AN740" s="168"/>
      <c r="AV740" s="173"/>
      <c r="AW740" s="174"/>
      <c r="AY740" s="175"/>
      <c r="BB740" s="176"/>
      <c r="BC740" s="176"/>
      <c r="BD740" s="172"/>
      <c r="BE740" s="170"/>
    </row>
    <row r="741" spans="3:57">
      <c r="C741" s="167"/>
      <c r="R741" s="211"/>
      <c r="T741" s="168"/>
      <c r="U741" s="169"/>
      <c r="V741" s="170"/>
      <c r="W741" s="170"/>
      <c r="AF741" s="171"/>
      <c r="AJ741" s="172"/>
      <c r="AK741" s="170"/>
      <c r="AM741" s="168"/>
      <c r="AN741" s="168"/>
      <c r="AV741" s="173"/>
      <c r="AW741" s="174"/>
      <c r="AY741" s="175"/>
      <c r="BB741" s="176"/>
      <c r="BC741" s="176"/>
      <c r="BD741" s="172"/>
      <c r="BE741" s="170"/>
    </row>
    <row r="742" spans="3:57">
      <c r="C742" s="167"/>
      <c r="R742" s="211"/>
      <c r="T742" s="168"/>
      <c r="U742" s="169"/>
      <c r="V742" s="170"/>
      <c r="W742" s="170"/>
      <c r="AF742" s="171"/>
      <c r="AJ742" s="172"/>
      <c r="AK742" s="170"/>
      <c r="AM742" s="168"/>
      <c r="AN742" s="168"/>
      <c r="AV742" s="173"/>
      <c r="AW742" s="174"/>
      <c r="AY742" s="175"/>
      <c r="BB742" s="176"/>
      <c r="BC742" s="176"/>
      <c r="BD742" s="172"/>
      <c r="BE742" s="170"/>
    </row>
    <row r="743" spans="3:57">
      <c r="C743" s="167"/>
      <c r="R743" s="211"/>
      <c r="T743" s="168"/>
      <c r="U743" s="169"/>
      <c r="V743" s="170"/>
      <c r="W743" s="170"/>
      <c r="AF743" s="171"/>
      <c r="AJ743" s="172"/>
      <c r="AK743" s="170"/>
      <c r="AM743" s="168"/>
      <c r="AN743" s="168"/>
      <c r="AV743" s="173"/>
      <c r="AW743" s="174"/>
      <c r="AY743" s="175"/>
      <c r="BB743" s="176"/>
      <c r="BC743" s="176"/>
      <c r="BD743" s="172"/>
      <c r="BE743" s="170"/>
    </row>
    <row r="744" spans="3:57">
      <c r="C744" s="167"/>
      <c r="R744" s="211"/>
      <c r="T744" s="168"/>
      <c r="U744" s="169"/>
      <c r="V744" s="170"/>
      <c r="W744" s="170"/>
      <c r="AF744" s="171"/>
      <c r="AJ744" s="172"/>
      <c r="AK744" s="170"/>
      <c r="AM744" s="168"/>
      <c r="AN744" s="168"/>
      <c r="AV744" s="173"/>
      <c r="AW744" s="174"/>
      <c r="AY744" s="175"/>
      <c r="BB744" s="176"/>
      <c r="BC744" s="176"/>
      <c r="BD744" s="172"/>
      <c r="BE744" s="170"/>
    </row>
    <row r="745" spans="3:57">
      <c r="C745" s="167"/>
      <c r="R745" s="211"/>
      <c r="T745" s="168"/>
      <c r="U745" s="169"/>
      <c r="V745" s="170"/>
      <c r="W745" s="170"/>
      <c r="AF745" s="171"/>
      <c r="AJ745" s="172"/>
      <c r="AK745" s="170"/>
      <c r="AM745" s="168"/>
      <c r="AN745" s="168"/>
      <c r="AV745" s="173"/>
      <c r="AW745" s="174"/>
      <c r="AY745" s="175"/>
      <c r="BB745" s="176"/>
      <c r="BC745" s="176"/>
      <c r="BD745" s="172"/>
      <c r="BE745" s="170"/>
    </row>
    <row r="746" spans="3:57">
      <c r="C746" s="167"/>
      <c r="R746" s="211"/>
      <c r="T746" s="168"/>
      <c r="U746" s="169"/>
      <c r="V746" s="170"/>
      <c r="W746" s="170"/>
      <c r="AF746" s="171"/>
      <c r="AJ746" s="172"/>
      <c r="AK746" s="170"/>
      <c r="AM746" s="168"/>
      <c r="AN746" s="168"/>
      <c r="AV746" s="173"/>
      <c r="AW746" s="174"/>
      <c r="AY746" s="175"/>
      <c r="BB746" s="176"/>
      <c r="BC746" s="176"/>
      <c r="BD746" s="172"/>
      <c r="BE746" s="170"/>
    </row>
    <row r="747" spans="3:57">
      <c r="C747" s="167"/>
      <c r="R747" s="211"/>
      <c r="T747" s="168"/>
      <c r="U747" s="169"/>
      <c r="V747" s="170"/>
      <c r="W747" s="170"/>
      <c r="AF747" s="171"/>
      <c r="AJ747" s="172"/>
      <c r="AK747" s="170"/>
      <c r="AM747" s="168"/>
      <c r="AN747" s="168"/>
      <c r="AV747" s="173"/>
      <c r="AW747" s="174"/>
      <c r="AY747" s="175"/>
      <c r="BB747" s="176"/>
      <c r="BC747" s="176"/>
      <c r="BD747" s="172"/>
      <c r="BE747" s="170"/>
    </row>
    <row r="748" spans="3:57">
      <c r="C748" s="167"/>
      <c r="R748" s="211"/>
      <c r="T748" s="168"/>
      <c r="U748" s="169"/>
      <c r="V748" s="170"/>
      <c r="W748" s="170"/>
      <c r="AF748" s="171"/>
      <c r="AJ748" s="172"/>
      <c r="AK748" s="170"/>
      <c r="AM748" s="168"/>
      <c r="AN748" s="168"/>
      <c r="AV748" s="173"/>
      <c r="AW748" s="174"/>
      <c r="AY748" s="175"/>
      <c r="BB748" s="176"/>
      <c r="BC748" s="176"/>
      <c r="BD748" s="172"/>
      <c r="BE748" s="170"/>
    </row>
    <row r="749" spans="3:57">
      <c r="C749" s="167"/>
      <c r="R749" s="211"/>
      <c r="T749" s="168"/>
      <c r="U749" s="169"/>
      <c r="V749" s="170"/>
      <c r="W749" s="170"/>
      <c r="AF749" s="171"/>
      <c r="AJ749" s="172"/>
      <c r="AK749" s="170"/>
      <c r="AM749" s="168"/>
      <c r="AN749" s="168"/>
      <c r="AV749" s="173"/>
      <c r="AW749" s="174"/>
      <c r="AY749" s="175"/>
      <c r="BB749" s="176"/>
      <c r="BC749" s="176"/>
      <c r="BD749" s="172"/>
      <c r="BE749" s="170"/>
    </row>
    <row r="750" spans="3:57">
      <c r="C750" s="167"/>
      <c r="R750" s="211"/>
      <c r="T750" s="168"/>
      <c r="U750" s="169"/>
      <c r="V750" s="170"/>
      <c r="W750" s="170"/>
      <c r="AF750" s="171"/>
      <c r="AJ750" s="172"/>
      <c r="AK750" s="170"/>
      <c r="AM750" s="168"/>
      <c r="AN750" s="168"/>
      <c r="AV750" s="173"/>
      <c r="AW750" s="174"/>
      <c r="AY750" s="175"/>
      <c r="BB750" s="176"/>
      <c r="BC750" s="176"/>
      <c r="BD750" s="172"/>
      <c r="BE750" s="170"/>
    </row>
    <row r="751" spans="3:57">
      <c r="C751" s="167"/>
      <c r="R751" s="211"/>
      <c r="T751" s="168"/>
      <c r="U751" s="169"/>
      <c r="V751" s="170"/>
      <c r="W751" s="170"/>
      <c r="AF751" s="171"/>
      <c r="AJ751" s="172"/>
      <c r="AK751" s="170"/>
      <c r="AM751" s="168"/>
      <c r="AN751" s="168"/>
      <c r="AV751" s="173"/>
      <c r="AW751" s="174"/>
      <c r="AY751" s="175"/>
      <c r="BB751" s="176"/>
      <c r="BC751" s="176"/>
      <c r="BD751" s="172"/>
      <c r="BE751" s="170"/>
    </row>
    <row r="752" spans="3:57">
      <c r="C752" s="167"/>
      <c r="R752" s="211"/>
      <c r="T752" s="168"/>
      <c r="U752" s="169"/>
      <c r="V752" s="170"/>
      <c r="W752" s="170"/>
      <c r="AF752" s="171"/>
      <c r="AJ752" s="172"/>
      <c r="AK752" s="170"/>
      <c r="AM752" s="168"/>
      <c r="AN752" s="168"/>
      <c r="AV752" s="173"/>
      <c r="AW752" s="174"/>
      <c r="AY752" s="175"/>
      <c r="BB752" s="176"/>
      <c r="BC752" s="176"/>
      <c r="BD752" s="172"/>
      <c r="BE752" s="170"/>
    </row>
    <row r="753" spans="3:57">
      <c r="C753" s="167"/>
      <c r="R753" s="211"/>
      <c r="T753" s="168"/>
      <c r="U753" s="169"/>
      <c r="V753" s="170"/>
      <c r="W753" s="170"/>
      <c r="AF753" s="171"/>
      <c r="AJ753" s="172"/>
      <c r="AK753" s="170"/>
      <c r="AM753" s="168"/>
      <c r="AN753" s="168"/>
      <c r="AV753" s="173"/>
      <c r="AW753" s="174"/>
      <c r="AY753" s="175"/>
      <c r="BB753" s="176"/>
      <c r="BC753" s="176"/>
      <c r="BD753" s="172"/>
      <c r="BE753" s="170"/>
    </row>
    <row r="754" spans="3:57">
      <c r="C754" s="167"/>
      <c r="R754" s="211"/>
      <c r="T754" s="168"/>
      <c r="U754" s="169"/>
      <c r="V754" s="170"/>
      <c r="W754" s="170"/>
      <c r="AF754" s="171"/>
      <c r="AJ754" s="172"/>
      <c r="AK754" s="170"/>
      <c r="AM754" s="168"/>
      <c r="AN754" s="168"/>
      <c r="AV754" s="173"/>
      <c r="AW754" s="174"/>
      <c r="AY754" s="175"/>
      <c r="BB754" s="176"/>
      <c r="BC754" s="176"/>
      <c r="BD754" s="172"/>
      <c r="BE754" s="170"/>
    </row>
    <row r="755" spans="3:57">
      <c r="C755" s="167"/>
      <c r="R755" s="211"/>
      <c r="T755" s="168"/>
      <c r="U755" s="169"/>
      <c r="V755" s="170"/>
      <c r="W755" s="170"/>
      <c r="AF755" s="171"/>
      <c r="AJ755" s="172"/>
      <c r="AK755" s="170"/>
      <c r="AM755" s="168"/>
      <c r="AN755" s="168"/>
      <c r="AV755" s="173"/>
      <c r="AW755" s="174"/>
      <c r="AY755" s="175"/>
      <c r="BB755" s="176"/>
      <c r="BC755" s="176"/>
      <c r="BD755" s="172"/>
      <c r="BE755" s="170"/>
    </row>
    <row r="756" spans="3:57">
      <c r="C756" s="167"/>
      <c r="R756" s="211"/>
      <c r="T756" s="168"/>
      <c r="U756" s="169"/>
      <c r="V756" s="170"/>
      <c r="W756" s="170"/>
      <c r="AF756" s="171"/>
      <c r="AJ756" s="172"/>
      <c r="AK756" s="170"/>
      <c r="AM756" s="168"/>
      <c r="AN756" s="168"/>
      <c r="AV756" s="173"/>
      <c r="AW756" s="174"/>
      <c r="AY756" s="175"/>
      <c r="BB756" s="176"/>
      <c r="BC756" s="176"/>
      <c r="BD756" s="172"/>
      <c r="BE756" s="170"/>
    </row>
    <row r="757" spans="3:57">
      <c r="C757" s="167"/>
      <c r="R757" s="211"/>
      <c r="T757" s="168"/>
      <c r="U757" s="169"/>
      <c r="V757" s="170"/>
      <c r="W757" s="170"/>
      <c r="AF757" s="171"/>
      <c r="AJ757" s="172"/>
      <c r="AK757" s="170"/>
      <c r="AM757" s="168"/>
      <c r="AN757" s="168"/>
      <c r="AV757" s="173"/>
      <c r="AW757" s="174"/>
      <c r="AY757" s="175"/>
      <c r="BB757" s="176"/>
      <c r="BC757" s="176"/>
      <c r="BD757" s="172"/>
      <c r="BE757" s="170"/>
    </row>
    <row r="758" spans="3:57">
      <c r="C758" s="167"/>
      <c r="R758" s="211"/>
      <c r="T758" s="168"/>
      <c r="U758" s="169"/>
      <c r="V758" s="170"/>
      <c r="W758" s="170"/>
      <c r="AF758" s="171"/>
      <c r="AJ758" s="172"/>
      <c r="AK758" s="170"/>
      <c r="AM758" s="168"/>
      <c r="AN758" s="168"/>
      <c r="AV758" s="173"/>
      <c r="AW758" s="174"/>
      <c r="AY758" s="175"/>
      <c r="BB758" s="176"/>
      <c r="BC758" s="176"/>
      <c r="BD758" s="172"/>
      <c r="BE758" s="170"/>
    </row>
    <row r="759" spans="3:57">
      <c r="C759" s="167"/>
      <c r="R759" s="211"/>
      <c r="T759" s="168"/>
      <c r="U759" s="169"/>
      <c r="V759" s="170"/>
      <c r="W759" s="170"/>
      <c r="AF759" s="171"/>
      <c r="AJ759" s="172"/>
      <c r="AK759" s="170"/>
      <c r="AM759" s="168"/>
      <c r="AN759" s="168"/>
      <c r="AV759" s="173"/>
      <c r="AW759" s="174"/>
      <c r="AY759" s="175"/>
      <c r="BB759" s="176"/>
      <c r="BC759" s="176"/>
      <c r="BD759" s="172"/>
      <c r="BE759" s="170"/>
    </row>
    <row r="760" spans="3:57">
      <c r="C760" s="167"/>
      <c r="R760" s="211"/>
      <c r="T760" s="168"/>
      <c r="U760" s="169"/>
      <c r="V760" s="170"/>
      <c r="W760" s="170"/>
      <c r="AF760" s="171"/>
      <c r="AJ760" s="172"/>
      <c r="AK760" s="170"/>
      <c r="AM760" s="168"/>
      <c r="AN760" s="168"/>
      <c r="AV760" s="173"/>
      <c r="AW760" s="174"/>
      <c r="AY760" s="175"/>
      <c r="BB760" s="176"/>
      <c r="BC760" s="176"/>
      <c r="BD760" s="172"/>
      <c r="BE760" s="170"/>
    </row>
    <row r="761" spans="3:57">
      <c r="C761" s="167"/>
      <c r="R761" s="211"/>
      <c r="T761" s="168"/>
      <c r="U761" s="169"/>
      <c r="V761" s="170"/>
      <c r="W761" s="170"/>
      <c r="AF761" s="171"/>
      <c r="AJ761" s="172"/>
      <c r="AK761" s="170"/>
      <c r="AM761" s="168"/>
      <c r="AN761" s="168"/>
      <c r="AV761" s="173"/>
      <c r="AW761" s="174"/>
      <c r="AY761" s="175"/>
      <c r="BB761" s="176"/>
      <c r="BC761" s="176"/>
      <c r="BD761" s="172"/>
      <c r="BE761" s="170"/>
    </row>
    <row r="762" spans="3:57">
      <c r="C762" s="167"/>
      <c r="R762" s="211"/>
      <c r="T762" s="168"/>
      <c r="U762" s="169"/>
      <c r="V762" s="170"/>
      <c r="W762" s="170"/>
      <c r="AF762" s="171"/>
      <c r="AJ762" s="172"/>
      <c r="AK762" s="170"/>
      <c r="AM762" s="168"/>
      <c r="AN762" s="168"/>
      <c r="AV762" s="173"/>
      <c r="AW762" s="174"/>
      <c r="AY762" s="175"/>
      <c r="BB762" s="176"/>
      <c r="BC762" s="176"/>
      <c r="BD762" s="172"/>
      <c r="BE762" s="170"/>
    </row>
    <row r="763" spans="3:57">
      <c r="C763" s="167"/>
      <c r="R763" s="211"/>
      <c r="T763" s="168"/>
      <c r="U763" s="169"/>
      <c r="V763" s="170"/>
      <c r="W763" s="170"/>
      <c r="AF763" s="171"/>
      <c r="AJ763" s="172"/>
      <c r="AK763" s="170"/>
      <c r="AM763" s="168"/>
      <c r="AN763" s="168"/>
      <c r="AV763" s="173"/>
      <c r="AW763" s="174"/>
      <c r="AY763" s="175"/>
      <c r="BB763" s="176"/>
      <c r="BC763" s="176"/>
      <c r="BD763" s="172"/>
      <c r="BE763" s="170"/>
    </row>
    <row r="764" spans="3:57">
      <c r="C764" s="167"/>
      <c r="R764" s="211"/>
      <c r="T764" s="168"/>
      <c r="U764" s="169"/>
      <c r="V764" s="170"/>
      <c r="W764" s="170"/>
      <c r="AF764" s="171"/>
      <c r="AJ764" s="172"/>
      <c r="AK764" s="170"/>
      <c r="AM764" s="168"/>
      <c r="AN764" s="168"/>
      <c r="AV764" s="173"/>
      <c r="AW764" s="174"/>
      <c r="AY764" s="175"/>
      <c r="BB764" s="176"/>
      <c r="BC764" s="176"/>
      <c r="BD764" s="172"/>
      <c r="BE764" s="170"/>
    </row>
    <row r="765" spans="3:57">
      <c r="C765" s="167"/>
      <c r="R765" s="211"/>
      <c r="T765" s="168"/>
      <c r="U765" s="169"/>
      <c r="V765" s="170"/>
      <c r="W765" s="170"/>
      <c r="AF765" s="171"/>
      <c r="AJ765" s="172"/>
      <c r="AK765" s="170"/>
      <c r="AM765" s="168"/>
      <c r="AN765" s="168"/>
      <c r="AV765" s="173"/>
      <c r="AW765" s="174"/>
      <c r="AY765" s="175"/>
      <c r="BB765" s="176"/>
      <c r="BC765" s="176"/>
      <c r="BD765" s="172"/>
      <c r="BE765" s="170"/>
    </row>
    <row r="766" spans="3:57">
      <c r="C766" s="167"/>
      <c r="R766" s="211"/>
      <c r="T766" s="168"/>
      <c r="U766" s="169"/>
      <c r="V766" s="170"/>
      <c r="W766" s="170"/>
      <c r="AF766" s="171"/>
      <c r="AJ766" s="172"/>
      <c r="AK766" s="170"/>
      <c r="AM766" s="168"/>
      <c r="AN766" s="168"/>
      <c r="AV766" s="173"/>
      <c r="AW766" s="174"/>
      <c r="AY766" s="175"/>
      <c r="BB766" s="176"/>
      <c r="BC766" s="176"/>
      <c r="BD766" s="172"/>
      <c r="BE766" s="170"/>
    </row>
    <row r="767" spans="3:57">
      <c r="C767" s="167"/>
      <c r="R767" s="211"/>
      <c r="T767" s="168"/>
      <c r="U767" s="169"/>
      <c r="V767" s="170"/>
      <c r="W767" s="170"/>
      <c r="AF767" s="171"/>
      <c r="AJ767" s="172"/>
      <c r="AK767" s="170"/>
      <c r="AM767" s="168"/>
      <c r="AN767" s="168"/>
      <c r="AV767" s="173"/>
      <c r="AW767" s="174"/>
      <c r="AY767" s="175"/>
      <c r="BB767" s="176"/>
      <c r="BC767" s="176"/>
      <c r="BD767" s="172"/>
      <c r="BE767" s="170"/>
    </row>
    <row r="768" spans="3:57">
      <c r="C768" s="167"/>
      <c r="R768" s="211"/>
      <c r="T768" s="168"/>
      <c r="U768" s="169"/>
      <c r="V768" s="170"/>
      <c r="W768" s="170"/>
      <c r="AF768" s="171"/>
      <c r="AJ768" s="172"/>
      <c r="AK768" s="170"/>
      <c r="AM768" s="168"/>
      <c r="AN768" s="168"/>
      <c r="AV768" s="173"/>
      <c r="AW768" s="174"/>
      <c r="AY768" s="175"/>
      <c r="BB768" s="176"/>
      <c r="BC768" s="176"/>
      <c r="BD768" s="172"/>
      <c r="BE768" s="170"/>
    </row>
    <row r="769" spans="3:57">
      <c r="C769" s="167"/>
      <c r="R769" s="211"/>
      <c r="T769" s="168"/>
      <c r="U769" s="169"/>
      <c r="V769" s="170"/>
      <c r="W769" s="170"/>
      <c r="AF769" s="171"/>
      <c r="AJ769" s="172"/>
      <c r="AK769" s="170"/>
      <c r="AM769" s="168"/>
      <c r="AN769" s="168"/>
      <c r="AV769" s="173"/>
      <c r="AW769" s="174"/>
      <c r="AY769" s="175"/>
      <c r="BB769" s="176"/>
      <c r="BC769" s="176"/>
      <c r="BD769" s="172"/>
      <c r="BE769" s="170"/>
    </row>
    <row r="770" spans="3:57">
      <c r="C770" s="167"/>
      <c r="R770" s="211"/>
      <c r="T770" s="168"/>
      <c r="U770" s="169"/>
      <c r="V770" s="170"/>
      <c r="W770" s="170"/>
      <c r="AF770" s="171"/>
      <c r="AJ770" s="172"/>
      <c r="AK770" s="170"/>
      <c r="AM770" s="168"/>
      <c r="AN770" s="168"/>
      <c r="AV770" s="173"/>
      <c r="AW770" s="174"/>
      <c r="AY770" s="175"/>
      <c r="BB770" s="176"/>
      <c r="BC770" s="176"/>
      <c r="BD770" s="172"/>
      <c r="BE770" s="170"/>
    </row>
    <row r="771" spans="3:57">
      <c r="C771" s="167"/>
      <c r="R771" s="211"/>
      <c r="T771" s="168"/>
      <c r="U771" s="169"/>
      <c r="V771" s="170"/>
      <c r="W771" s="170"/>
      <c r="AF771" s="171"/>
      <c r="AJ771" s="172"/>
      <c r="AK771" s="170"/>
      <c r="AM771" s="168"/>
      <c r="AN771" s="168"/>
      <c r="AV771" s="173"/>
      <c r="AW771" s="174"/>
      <c r="AY771" s="175"/>
      <c r="BB771" s="176"/>
      <c r="BC771" s="176"/>
      <c r="BD771" s="172"/>
      <c r="BE771" s="170"/>
    </row>
    <row r="772" spans="3:57">
      <c r="C772" s="167"/>
      <c r="R772" s="211"/>
      <c r="T772" s="168"/>
      <c r="U772" s="169"/>
      <c r="V772" s="170"/>
      <c r="W772" s="170"/>
      <c r="AF772" s="171"/>
      <c r="AJ772" s="172"/>
      <c r="AK772" s="170"/>
      <c r="AM772" s="168"/>
      <c r="AN772" s="168"/>
      <c r="AV772" s="173"/>
      <c r="AW772" s="174"/>
      <c r="AY772" s="175"/>
      <c r="BB772" s="176"/>
      <c r="BC772" s="176"/>
      <c r="BD772" s="172"/>
      <c r="BE772" s="170"/>
    </row>
    <row r="773" spans="3:57">
      <c r="C773" s="167"/>
      <c r="R773" s="211"/>
      <c r="T773" s="168"/>
      <c r="U773" s="169"/>
      <c r="V773" s="170"/>
      <c r="W773" s="170"/>
      <c r="AF773" s="171"/>
      <c r="AJ773" s="172"/>
      <c r="AK773" s="170"/>
      <c r="AM773" s="168"/>
      <c r="AN773" s="168"/>
      <c r="AV773" s="173"/>
      <c r="AW773" s="174"/>
      <c r="AY773" s="175"/>
      <c r="BB773" s="176"/>
      <c r="BC773" s="176"/>
      <c r="BD773" s="172"/>
      <c r="BE773" s="170"/>
    </row>
    <row r="774" spans="3:57">
      <c r="C774" s="167"/>
      <c r="R774" s="211"/>
      <c r="T774" s="168"/>
      <c r="U774" s="169"/>
      <c r="V774" s="170"/>
      <c r="W774" s="170"/>
      <c r="AF774" s="171"/>
      <c r="AJ774" s="172"/>
      <c r="AK774" s="170"/>
      <c r="AM774" s="168"/>
      <c r="AN774" s="168"/>
      <c r="AV774" s="173"/>
      <c r="AW774" s="174"/>
      <c r="AY774" s="175"/>
      <c r="BB774" s="176"/>
      <c r="BC774" s="176"/>
      <c r="BD774" s="172"/>
      <c r="BE774" s="170"/>
    </row>
    <row r="775" spans="3:57">
      <c r="C775" s="167"/>
      <c r="R775" s="211"/>
      <c r="T775" s="168"/>
      <c r="U775" s="169"/>
      <c r="V775" s="170"/>
      <c r="W775" s="170"/>
      <c r="AF775" s="171"/>
      <c r="AJ775" s="172"/>
      <c r="AK775" s="170"/>
      <c r="AM775" s="168"/>
      <c r="AN775" s="168"/>
      <c r="AV775" s="173"/>
      <c r="AW775" s="174"/>
      <c r="AY775" s="175"/>
      <c r="BB775" s="176"/>
      <c r="BC775" s="176"/>
      <c r="BD775" s="172"/>
      <c r="BE775" s="170"/>
    </row>
    <row r="776" spans="3:57">
      <c r="C776" s="167"/>
      <c r="R776" s="211"/>
      <c r="T776" s="168"/>
      <c r="U776" s="169"/>
      <c r="V776" s="170"/>
      <c r="W776" s="170"/>
      <c r="AF776" s="171"/>
      <c r="AJ776" s="172"/>
      <c r="AK776" s="170"/>
      <c r="AM776" s="168"/>
      <c r="AN776" s="168"/>
      <c r="AV776" s="173"/>
      <c r="AW776" s="174"/>
      <c r="AY776" s="175"/>
      <c r="BB776" s="176"/>
      <c r="BC776" s="176"/>
      <c r="BD776" s="172"/>
      <c r="BE776" s="170"/>
    </row>
    <row r="777" spans="3:57">
      <c r="C777" s="167"/>
      <c r="R777" s="211"/>
      <c r="T777" s="168"/>
      <c r="U777" s="169"/>
      <c r="V777" s="170"/>
      <c r="W777" s="170"/>
      <c r="AF777" s="171"/>
      <c r="AJ777" s="172"/>
      <c r="AK777" s="170"/>
      <c r="AM777" s="168"/>
      <c r="AN777" s="168"/>
      <c r="AV777" s="173"/>
      <c r="AW777" s="174"/>
      <c r="AY777" s="175"/>
      <c r="BB777" s="176"/>
      <c r="BC777" s="176"/>
      <c r="BD777" s="172"/>
      <c r="BE777" s="170"/>
    </row>
    <row r="778" spans="3:57">
      <c r="C778" s="167"/>
      <c r="R778" s="211"/>
      <c r="T778" s="168"/>
      <c r="U778" s="169"/>
      <c r="V778" s="170"/>
      <c r="W778" s="170"/>
      <c r="AF778" s="171"/>
      <c r="AJ778" s="172"/>
      <c r="AK778" s="170"/>
      <c r="AM778" s="168"/>
      <c r="AN778" s="168"/>
      <c r="AV778" s="173"/>
      <c r="AW778" s="174"/>
      <c r="AY778" s="175"/>
      <c r="BB778" s="176"/>
      <c r="BC778" s="176"/>
      <c r="BD778" s="172"/>
      <c r="BE778" s="170"/>
    </row>
    <row r="779" spans="3:57">
      <c r="C779" s="167"/>
      <c r="R779" s="211"/>
      <c r="T779" s="168"/>
      <c r="U779" s="169"/>
      <c r="V779" s="170"/>
      <c r="W779" s="170"/>
      <c r="AF779" s="171"/>
      <c r="AJ779" s="172"/>
      <c r="AK779" s="170"/>
      <c r="AM779" s="168"/>
      <c r="AN779" s="168"/>
      <c r="AV779" s="173"/>
      <c r="AW779" s="174"/>
      <c r="AY779" s="175"/>
      <c r="BB779" s="176"/>
      <c r="BC779" s="176"/>
      <c r="BD779" s="172"/>
      <c r="BE779" s="170"/>
    </row>
    <row r="780" spans="3:57">
      <c r="C780" s="167"/>
      <c r="R780" s="211"/>
      <c r="T780" s="168"/>
      <c r="U780" s="169"/>
      <c r="V780" s="170"/>
      <c r="W780" s="170"/>
      <c r="AF780" s="171"/>
      <c r="AJ780" s="172"/>
      <c r="AK780" s="170"/>
      <c r="AM780" s="168"/>
      <c r="AN780" s="168"/>
      <c r="AV780" s="173"/>
      <c r="AW780" s="174"/>
      <c r="AY780" s="175"/>
      <c r="BB780" s="176"/>
      <c r="BC780" s="176"/>
      <c r="BD780" s="172"/>
      <c r="BE780" s="170"/>
    </row>
    <row r="781" spans="3:57">
      <c r="C781" s="167"/>
      <c r="R781" s="211"/>
      <c r="T781" s="168"/>
      <c r="U781" s="169"/>
      <c r="V781" s="170"/>
      <c r="W781" s="170"/>
      <c r="AF781" s="171"/>
      <c r="AJ781" s="172"/>
      <c r="AK781" s="170"/>
      <c r="AM781" s="168"/>
      <c r="AN781" s="168"/>
      <c r="AV781" s="173"/>
      <c r="AW781" s="174"/>
      <c r="AY781" s="175"/>
      <c r="BB781" s="176"/>
      <c r="BC781" s="176"/>
      <c r="BD781" s="172"/>
      <c r="BE781" s="170"/>
    </row>
    <row r="782" spans="3:57">
      <c r="C782" s="167"/>
      <c r="R782" s="211"/>
      <c r="T782" s="168"/>
      <c r="U782" s="169"/>
      <c r="V782" s="170"/>
      <c r="W782" s="170"/>
      <c r="AF782" s="171"/>
      <c r="AJ782" s="172"/>
      <c r="AK782" s="170"/>
      <c r="AM782" s="168"/>
      <c r="AN782" s="168"/>
      <c r="AV782" s="173"/>
      <c r="AW782" s="174"/>
      <c r="AY782" s="175"/>
      <c r="BB782" s="176"/>
      <c r="BC782" s="176"/>
      <c r="BD782" s="172"/>
      <c r="BE782" s="170"/>
    </row>
    <row r="783" spans="3:57">
      <c r="C783" s="167"/>
      <c r="R783" s="211"/>
      <c r="T783" s="168"/>
      <c r="U783" s="169"/>
      <c r="V783" s="170"/>
      <c r="W783" s="170"/>
      <c r="AF783" s="171"/>
      <c r="AJ783" s="172"/>
      <c r="AK783" s="170"/>
      <c r="AM783" s="168"/>
      <c r="AN783" s="168"/>
      <c r="AV783" s="173"/>
      <c r="AW783" s="174"/>
      <c r="AY783" s="175"/>
      <c r="BB783" s="176"/>
      <c r="BC783" s="176"/>
      <c r="BD783" s="172"/>
      <c r="BE783" s="170"/>
    </row>
    <row r="784" spans="3:57">
      <c r="C784" s="167"/>
      <c r="R784" s="211"/>
      <c r="T784" s="168"/>
      <c r="U784" s="169"/>
      <c r="V784" s="170"/>
      <c r="W784" s="170"/>
      <c r="AF784" s="171"/>
      <c r="AJ784" s="172"/>
      <c r="AK784" s="170"/>
      <c r="AM784" s="168"/>
      <c r="AN784" s="168"/>
      <c r="AV784" s="173"/>
      <c r="AW784" s="174"/>
      <c r="AY784" s="175"/>
      <c r="BB784" s="176"/>
      <c r="BC784" s="176"/>
      <c r="BD784" s="172"/>
      <c r="BE784" s="170"/>
    </row>
    <row r="785" spans="3:57">
      <c r="C785" s="167"/>
      <c r="R785" s="211"/>
      <c r="T785" s="168"/>
      <c r="U785" s="169"/>
      <c r="V785" s="170"/>
      <c r="W785" s="170"/>
      <c r="AF785" s="171"/>
      <c r="AJ785" s="172"/>
      <c r="AK785" s="170"/>
      <c r="AM785" s="168"/>
      <c r="AN785" s="168"/>
      <c r="AV785" s="173"/>
      <c r="AW785" s="174"/>
      <c r="AY785" s="175"/>
      <c r="BB785" s="176"/>
      <c r="BC785" s="176"/>
      <c r="BD785" s="172"/>
      <c r="BE785" s="170"/>
    </row>
    <row r="786" spans="3:57">
      <c r="C786" s="167"/>
      <c r="R786" s="211"/>
      <c r="T786" s="168"/>
      <c r="U786" s="169"/>
      <c r="V786" s="170"/>
      <c r="W786" s="170"/>
      <c r="AF786" s="171"/>
      <c r="AJ786" s="172"/>
      <c r="AK786" s="170"/>
      <c r="AM786" s="168"/>
      <c r="AN786" s="168"/>
      <c r="AV786" s="173"/>
      <c r="AW786" s="174"/>
      <c r="AY786" s="175"/>
      <c r="BB786" s="176"/>
      <c r="BC786" s="176"/>
      <c r="BD786" s="172"/>
      <c r="BE786" s="170"/>
    </row>
    <row r="787" spans="3:57">
      <c r="C787" s="167"/>
      <c r="R787" s="211"/>
      <c r="T787" s="168"/>
      <c r="U787" s="169"/>
      <c r="V787" s="170"/>
      <c r="W787" s="170"/>
      <c r="AF787" s="171"/>
      <c r="AJ787" s="172"/>
      <c r="AK787" s="170"/>
      <c r="AM787" s="168"/>
      <c r="AN787" s="168"/>
      <c r="AV787" s="173"/>
      <c r="AW787" s="174"/>
      <c r="AY787" s="175"/>
      <c r="BB787" s="176"/>
      <c r="BC787" s="176"/>
      <c r="BD787" s="172"/>
      <c r="BE787" s="170"/>
    </row>
    <row r="788" spans="3:57">
      <c r="C788" s="167"/>
      <c r="R788" s="211"/>
      <c r="T788" s="168"/>
      <c r="U788" s="169"/>
      <c r="V788" s="170"/>
      <c r="W788" s="170"/>
      <c r="AF788" s="171"/>
      <c r="AJ788" s="172"/>
      <c r="AK788" s="170"/>
      <c r="AM788" s="168"/>
      <c r="AN788" s="168"/>
      <c r="AV788" s="173"/>
      <c r="AW788" s="174"/>
      <c r="AY788" s="175"/>
      <c r="BB788" s="176"/>
      <c r="BC788" s="176"/>
      <c r="BD788" s="172"/>
      <c r="BE788" s="170"/>
    </row>
    <row r="789" spans="3:57">
      <c r="C789" s="167"/>
      <c r="R789" s="211"/>
      <c r="T789" s="168"/>
      <c r="U789" s="169"/>
      <c r="V789" s="170"/>
      <c r="W789" s="170"/>
      <c r="AF789" s="171"/>
      <c r="AJ789" s="172"/>
      <c r="AK789" s="170"/>
      <c r="AM789" s="168"/>
      <c r="AN789" s="168"/>
      <c r="AV789" s="173"/>
      <c r="AW789" s="174"/>
      <c r="AY789" s="175"/>
      <c r="BB789" s="176"/>
      <c r="BC789" s="176"/>
      <c r="BD789" s="172"/>
      <c r="BE789" s="170"/>
    </row>
    <row r="790" spans="3:57">
      <c r="C790" s="167"/>
      <c r="R790" s="211"/>
      <c r="T790" s="168"/>
      <c r="U790" s="169"/>
      <c r="V790" s="170"/>
      <c r="W790" s="170"/>
      <c r="AF790" s="171"/>
      <c r="AJ790" s="172"/>
      <c r="AK790" s="170"/>
      <c r="AM790" s="168"/>
      <c r="AN790" s="168"/>
      <c r="AV790" s="173"/>
      <c r="AW790" s="174"/>
      <c r="AY790" s="175"/>
      <c r="BB790" s="176"/>
      <c r="BC790" s="176"/>
      <c r="BD790" s="172"/>
      <c r="BE790" s="170"/>
    </row>
    <row r="791" spans="3:57">
      <c r="C791" s="167"/>
      <c r="R791" s="211"/>
      <c r="T791" s="168"/>
      <c r="U791" s="169"/>
      <c r="V791" s="170"/>
      <c r="W791" s="170"/>
      <c r="AF791" s="171"/>
      <c r="AJ791" s="172"/>
      <c r="AK791" s="170"/>
      <c r="AM791" s="168"/>
      <c r="AN791" s="168"/>
      <c r="AV791" s="173"/>
      <c r="AW791" s="174"/>
      <c r="AY791" s="175"/>
      <c r="BB791" s="176"/>
      <c r="BC791" s="176"/>
      <c r="BD791" s="172"/>
      <c r="BE791" s="170"/>
    </row>
    <row r="792" spans="3:57">
      <c r="C792" s="167"/>
      <c r="R792" s="211"/>
      <c r="T792" s="168"/>
      <c r="U792" s="169"/>
      <c r="V792" s="170"/>
      <c r="W792" s="170"/>
      <c r="AF792" s="171"/>
      <c r="AJ792" s="172"/>
      <c r="AK792" s="170"/>
      <c r="AM792" s="168"/>
      <c r="AN792" s="168"/>
      <c r="AV792" s="173"/>
      <c r="AW792" s="174"/>
      <c r="AY792" s="175"/>
      <c r="BB792" s="176"/>
      <c r="BC792" s="176"/>
      <c r="BD792" s="172"/>
      <c r="BE792" s="170"/>
    </row>
    <row r="793" spans="3:57">
      <c r="C793" s="167"/>
      <c r="R793" s="211"/>
      <c r="T793" s="168"/>
      <c r="U793" s="169"/>
      <c r="V793" s="170"/>
      <c r="W793" s="170"/>
      <c r="AF793" s="171"/>
      <c r="AJ793" s="172"/>
      <c r="AK793" s="170"/>
      <c r="AM793" s="168"/>
      <c r="AN793" s="168"/>
      <c r="AV793" s="173"/>
      <c r="AW793" s="174"/>
      <c r="AY793" s="175"/>
      <c r="BB793" s="176"/>
      <c r="BC793" s="176"/>
      <c r="BD793" s="172"/>
      <c r="BE793" s="170"/>
    </row>
    <row r="794" spans="3:57">
      <c r="C794" s="167"/>
      <c r="R794" s="211"/>
      <c r="T794" s="168"/>
      <c r="U794" s="169"/>
      <c r="V794" s="170"/>
      <c r="W794" s="170"/>
      <c r="AF794" s="171"/>
      <c r="AJ794" s="172"/>
      <c r="AK794" s="170"/>
      <c r="AM794" s="168"/>
      <c r="AN794" s="168"/>
      <c r="AV794" s="173"/>
      <c r="AW794" s="174"/>
      <c r="AY794" s="175"/>
      <c r="BB794" s="176"/>
      <c r="BC794" s="176"/>
      <c r="BD794" s="172"/>
      <c r="BE794" s="170"/>
    </row>
    <row r="795" spans="3:57">
      <c r="C795" s="167"/>
      <c r="R795" s="211"/>
      <c r="T795" s="168"/>
      <c r="U795" s="169"/>
      <c r="V795" s="170"/>
      <c r="W795" s="170"/>
      <c r="AF795" s="171"/>
      <c r="AJ795" s="172"/>
      <c r="AK795" s="170"/>
      <c r="AM795" s="168"/>
      <c r="AN795" s="168"/>
      <c r="AV795" s="173"/>
      <c r="AW795" s="174"/>
      <c r="AY795" s="175"/>
      <c r="BB795" s="176"/>
      <c r="BC795" s="176"/>
      <c r="BD795" s="172"/>
      <c r="BE795" s="170"/>
    </row>
    <row r="796" spans="3:57">
      <c r="C796" s="167"/>
      <c r="R796" s="211"/>
      <c r="T796" s="168"/>
      <c r="U796" s="169"/>
      <c r="V796" s="170"/>
      <c r="W796" s="170"/>
      <c r="AF796" s="171"/>
      <c r="AJ796" s="172"/>
      <c r="AK796" s="170"/>
      <c r="AM796" s="168"/>
      <c r="AN796" s="168"/>
      <c r="AV796" s="173"/>
      <c r="AW796" s="174"/>
      <c r="AY796" s="175"/>
      <c r="BB796" s="176"/>
      <c r="BC796" s="176"/>
      <c r="BD796" s="172"/>
      <c r="BE796" s="170"/>
    </row>
    <row r="797" spans="3:57">
      <c r="C797" s="167"/>
      <c r="R797" s="211"/>
      <c r="T797" s="168"/>
      <c r="U797" s="169"/>
      <c r="V797" s="170"/>
      <c r="W797" s="170"/>
      <c r="AF797" s="171"/>
      <c r="AJ797" s="172"/>
      <c r="AK797" s="170"/>
      <c r="AM797" s="168"/>
      <c r="AN797" s="168"/>
      <c r="AV797" s="173"/>
      <c r="AW797" s="174"/>
      <c r="AY797" s="175"/>
      <c r="BB797" s="176"/>
      <c r="BC797" s="176"/>
      <c r="BD797" s="172"/>
      <c r="BE797" s="170"/>
    </row>
    <row r="798" spans="3:57">
      <c r="C798" s="167"/>
      <c r="R798" s="211"/>
      <c r="T798" s="168"/>
      <c r="U798" s="169"/>
      <c r="V798" s="170"/>
      <c r="W798" s="170"/>
      <c r="AF798" s="171"/>
      <c r="AJ798" s="172"/>
      <c r="AK798" s="170"/>
      <c r="AM798" s="168"/>
      <c r="AN798" s="168"/>
      <c r="AV798" s="173"/>
      <c r="AW798" s="174"/>
      <c r="AY798" s="175"/>
      <c r="BB798" s="176"/>
      <c r="BC798" s="176"/>
      <c r="BD798" s="172"/>
      <c r="BE798" s="170"/>
    </row>
    <row r="799" spans="3:57">
      <c r="C799" s="167"/>
      <c r="R799" s="211"/>
      <c r="T799" s="168"/>
      <c r="U799" s="169"/>
      <c r="V799" s="170"/>
      <c r="W799" s="170"/>
      <c r="AF799" s="171"/>
      <c r="AJ799" s="172"/>
      <c r="AK799" s="170"/>
      <c r="AM799" s="168"/>
      <c r="AN799" s="168"/>
      <c r="AV799" s="173"/>
      <c r="AW799" s="174"/>
      <c r="AY799" s="175"/>
      <c r="BB799" s="176"/>
      <c r="BC799" s="176"/>
      <c r="BD799" s="172"/>
      <c r="BE799" s="170"/>
    </row>
    <row r="800" spans="3:57">
      <c r="C800" s="167"/>
      <c r="R800" s="211"/>
      <c r="T800" s="168"/>
      <c r="U800" s="169"/>
      <c r="V800" s="170"/>
      <c r="W800" s="170"/>
      <c r="AF800" s="171"/>
      <c r="AJ800" s="172"/>
      <c r="AK800" s="170"/>
      <c r="AM800" s="168"/>
      <c r="AN800" s="168"/>
      <c r="AV800" s="173"/>
      <c r="AW800" s="174"/>
      <c r="AY800" s="175"/>
      <c r="BB800" s="176"/>
      <c r="BC800" s="176"/>
      <c r="BD800" s="172"/>
      <c r="BE800" s="170"/>
    </row>
    <row r="801" spans="3:57">
      <c r="C801" s="167"/>
      <c r="R801" s="211"/>
      <c r="T801" s="168"/>
      <c r="U801" s="169"/>
      <c r="V801" s="170"/>
      <c r="W801" s="170"/>
      <c r="AF801" s="171"/>
      <c r="AJ801" s="172"/>
      <c r="AK801" s="170"/>
      <c r="AM801" s="168"/>
      <c r="AN801" s="168"/>
      <c r="AV801" s="173"/>
      <c r="AW801" s="174"/>
      <c r="AY801" s="175"/>
      <c r="BB801" s="176"/>
      <c r="BC801" s="176"/>
      <c r="BD801" s="172"/>
      <c r="BE801" s="170"/>
    </row>
    <row r="802" spans="3:57">
      <c r="C802" s="167"/>
      <c r="R802" s="211"/>
      <c r="T802" s="168"/>
      <c r="U802" s="169"/>
      <c r="V802" s="170"/>
      <c r="W802" s="170"/>
      <c r="AF802" s="171"/>
      <c r="AJ802" s="172"/>
      <c r="AK802" s="170"/>
      <c r="AM802" s="168"/>
      <c r="AN802" s="168"/>
      <c r="AV802" s="173"/>
      <c r="AW802" s="174"/>
      <c r="AY802" s="175"/>
      <c r="BB802" s="176"/>
      <c r="BC802" s="176"/>
      <c r="BD802" s="172"/>
      <c r="BE802" s="170"/>
    </row>
    <row r="803" spans="3:57">
      <c r="C803" s="167"/>
      <c r="R803" s="211"/>
      <c r="T803" s="168"/>
      <c r="U803" s="169"/>
      <c r="V803" s="170"/>
      <c r="W803" s="170"/>
      <c r="AF803" s="171"/>
      <c r="AJ803" s="172"/>
      <c r="AK803" s="170"/>
      <c r="AM803" s="168"/>
      <c r="AN803" s="168"/>
      <c r="AV803" s="173"/>
      <c r="AW803" s="174"/>
      <c r="AY803" s="175"/>
      <c r="BB803" s="176"/>
      <c r="BC803" s="176"/>
      <c r="BD803" s="172"/>
      <c r="BE803" s="170"/>
    </row>
    <row r="804" spans="3:57">
      <c r="C804" s="167"/>
      <c r="R804" s="211"/>
      <c r="T804" s="168"/>
      <c r="U804" s="169"/>
      <c r="V804" s="170"/>
      <c r="W804" s="170"/>
      <c r="AF804" s="171"/>
      <c r="AJ804" s="172"/>
      <c r="AK804" s="170"/>
      <c r="AM804" s="168"/>
      <c r="AN804" s="168"/>
      <c r="AV804" s="173"/>
      <c r="AW804" s="174"/>
      <c r="AY804" s="175"/>
      <c r="BB804" s="176"/>
      <c r="BC804" s="176"/>
      <c r="BD804" s="172"/>
      <c r="BE804" s="170"/>
    </row>
    <row r="805" spans="3:57">
      <c r="C805" s="167"/>
      <c r="R805" s="211"/>
      <c r="T805" s="168"/>
      <c r="U805" s="169"/>
      <c r="V805" s="170"/>
      <c r="W805" s="170"/>
      <c r="AF805" s="171"/>
      <c r="AJ805" s="172"/>
      <c r="AK805" s="170"/>
      <c r="AM805" s="168"/>
      <c r="AN805" s="168"/>
      <c r="AV805" s="173"/>
      <c r="AW805" s="174"/>
      <c r="AY805" s="175"/>
      <c r="BB805" s="176"/>
      <c r="BC805" s="176"/>
      <c r="BD805" s="172"/>
      <c r="BE805" s="170"/>
    </row>
    <row r="806" spans="3:57">
      <c r="C806" s="167"/>
      <c r="R806" s="211"/>
      <c r="T806" s="168"/>
      <c r="U806" s="169"/>
      <c r="V806" s="170"/>
      <c r="W806" s="170"/>
      <c r="AF806" s="171"/>
      <c r="AJ806" s="172"/>
      <c r="AK806" s="170"/>
      <c r="AM806" s="168"/>
      <c r="AN806" s="168"/>
      <c r="AV806" s="173"/>
      <c r="AW806" s="174"/>
      <c r="AY806" s="175"/>
      <c r="BB806" s="176"/>
      <c r="BC806" s="176"/>
      <c r="BD806" s="172"/>
      <c r="BE806" s="170"/>
    </row>
    <row r="807" spans="3:57">
      <c r="C807" s="167"/>
      <c r="R807" s="211"/>
      <c r="T807" s="168"/>
      <c r="U807" s="169"/>
      <c r="V807" s="170"/>
      <c r="W807" s="170"/>
      <c r="AF807" s="171"/>
      <c r="AJ807" s="172"/>
      <c r="AK807" s="170"/>
      <c r="AM807" s="168"/>
      <c r="AN807" s="168"/>
      <c r="AV807" s="173"/>
      <c r="AW807" s="174"/>
      <c r="AY807" s="175"/>
      <c r="BB807" s="176"/>
      <c r="BC807" s="176"/>
      <c r="BD807" s="172"/>
      <c r="BE807" s="170"/>
    </row>
    <row r="808" spans="3:57">
      <c r="C808" s="167"/>
      <c r="R808" s="211"/>
      <c r="T808" s="168"/>
      <c r="U808" s="169"/>
      <c r="V808" s="170"/>
      <c r="W808" s="170"/>
      <c r="AF808" s="171"/>
      <c r="AJ808" s="172"/>
      <c r="AK808" s="170"/>
      <c r="AM808" s="168"/>
      <c r="AN808" s="168"/>
      <c r="AV808" s="173"/>
      <c r="AW808" s="174"/>
      <c r="AY808" s="175"/>
      <c r="BB808" s="176"/>
      <c r="BC808" s="176"/>
      <c r="BD808" s="172"/>
      <c r="BE808" s="170"/>
    </row>
    <row r="809" spans="3:57">
      <c r="C809" s="167"/>
      <c r="R809" s="211"/>
      <c r="T809" s="168"/>
      <c r="U809" s="169"/>
      <c r="V809" s="170"/>
      <c r="W809" s="170"/>
      <c r="AF809" s="171"/>
      <c r="AJ809" s="172"/>
      <c r="AK809" s="170"/>
      <c r="AM809" s="168"/>
      <c r="AN809" s="168"/>
      <c r="AV809" s="173"/>
      <c r="AW809" s="174"/>
      <c r="AY809" s="175"/>
      <c r="BB809" s="176"/>
      <c r="BC809" s="176"/>
      <c r="BD809" s="172"/>
      <c r="BE809" s="170"/>
    </row>
    <row r="810" spans="3:57">
      <c r="C810" s="167"/>
      <c r="R810" s="211"/>
      <c r="T810" s="168"/>
      <c r="U810" s="169"/>
      <c r="V810" s="170"/>
      <c r="W810" s="170"/>
      <c r="AF810" s="171"/>
      <c r="AJ810" s="172"/>
      <c r="AK810" s="170"/>
      <c r="AM810" s="168"/>
      <c r="AN810" s="168"/>
      <c r="AV810" s="173"/>
      <c r="AW810" s="174"/>
      <c r="AY810" s="175"/>
      <c r="BB810" s="176"/>
      <c r="BC810" s="176"/>
      <c r="BD810" s="172"/>
      <c r="BE810" s="170"/>
    </row>
    <row r="811" spans="3:57">
      <c r="C811" s="167"/>
      <c r="R811" s="211"/>
      <c r="T811" s="168"/>
      <c r="U811" s="169"/>
      <c r="V811" s="170"/>
      <c r="W811" s="170"/>
      <c r="AF811" s="171"/>
      <c r="AJ811" s="172"/>
      <c r="AK811" s="170"/>
      <c r="AM811" s="168"/>
      <c r="AN811" s="168"/>
      <c r="AV811" s="173"/>
      <c r="AW811" s="174"/>
      <c r="AY811" s="175"/>
      <c r="BB811" s="176"/>
      <c r="BC811" s="176"/>
      <c r="BD811" s="172"/>
      <c r="BE811" s="170"/>
    </row>
    <row r="812" spans="3:57">
      <c r="C812" s="167"/>
      <c r="R812" s="211"/>
      <c r="T812" s="168"/>
      <c r="U812" s="169"/>
      <c r="V812" s="170"/>
      <c r="W812" s="170"/>
      <c r="AF812" s="171"/>
      <c r="AJ812" s="172"/>
      <c r="AK812" s="170"/>
      <c r="AM812" s="168"/>
      <c r="AN812" s="168"/>
      <c r="AV812" s="173"/>
      <c r="AW812" s="174"/>
      <c r="AY812" s="175"/>
      <c r="BB812" s="176"/>
      <c r="BC812" s="176"/>
      <c r="BD812" s="172"/>
      <c r="BE812" s="170"/>
    </row>
    <row r="813" spans="3:57">
      <c r="C813" s="167"/>
      <c r="R813" s="211"/>
      <c r="T813" s="168"/>
      <c r="U813" s="169"/>
      <c r="V813" s="170"/>
      <c r="W813" s="170"/>
      <c r="AF813" s="171"/>
      <c r="AJ813" s="172"/>
      <c r="AK813" s="170"/>
      <c r="AM813" s="168"/>
      <c r="AN813" s="168"/>
      <c r="AV813" s="173"/>
      <c r="AW813" s="174"/>
      <c r="AY813" s="175"/>
      <c r="BB813" s="176"/>
      <c r="BC813" s="176"/>
      <c r="BD813" s="172"/>
      <c r="BE813" s="170"/>
    </row>
    <row r="814" spans="3:57">
      <c r="C814" s="167"/>
      <c r="R814" s="211"/>
      <c r="T814" s="168"/>
      <c r="U814" s="169"/>
      <c r="V814" s="170"/>
      <c r="W814" s="170"/>
      <c r="AF814" s="171"/>
      <c r="AJ814" s="172"/>
      <c r="AK814" s="170"/>
      <c r="AM814" s="168"/>
      <c r="AN814" s="168"/>
      <c r="AV814" s="173"/>
      <c r="AW814" s="174"/>
      <c r="AY814" s="175"/>
      <c r="BB814" s="176"/>
      <c r="BC814" s="176"/>
      <c r="BD814" s="172"/>
      <c r="BE814" s="170"/>
    </row>
    <row r="815" spans="3:57">
      <c r="C815" s="167"/>
      <c r="R815" s="211"/>
      <c r="T815" s="168"/>
      <c r="U815" s="169"/>
      <c r="V815" s="170"/>
      <c r="W815" s="170"/>
      <c r="AF815" s="171"/>
      <c r="AJ815" s="172"/>
      <c r="AK815" s="170"/>
      <c r="AM815" s="168"/>
      <c r="AN815" s="168"/>
      <c r="AV815" s="173"/>
      <c r="AW815" s="174"/>
      <c r="AY815" s="175"/>
      <c r="BB815" s="176"/>
      <c r="BC815" s="176"/>
      <c r="BD815" s="172"/>
      <c r="BE815" s="170"/>
    </row>
    <row r="816" spans="3:57">
      <c r="C816" s="167"/>
      <c r="R816" s="211"/>
      <c r="T816" s="168"/>
      <c r="U816" s="169"/>
      <c r="V816" s="170"/>
      <c r="W816" s="170"/>
      <c r="AF816" s="171"/>
      <c r="AJ816" s="172"/>
      <c r="AK816" s="170"/>
      <c r="AM816" s="168"/>
      <c r="AN816" s="168"/>
      <c r="AV816" s="173"/>
      <c r="AW816" s="174"/>
      <c r="AY816" s="175"/>
      <c r="BB816" s="176"/>
      <c r="BC816" s="176"/>
      <c r="BD816" s="172"/>
      <c r="BE816" s="170"/>
    </row>
    <row r="817" spans="3:57">
      <c r="C817" s="167"/>
      <c r="R817" s="211"/>
      <c r="T817" s="168"/>
      <c r="U817" s="169"/>
      <c r="V817" s="170"/>
      <c r="W817" s="170"/>
      <c r="AF817" s="171"/>
      <c r="AJ817" s="172"/>
      <c r="AK817" s="170"/>
      <c r="AM817" s="168"/>
      <c r="AN817" s="168"/>
      <c r="AV817" s="173"/>
      <c r="AW817" s="174"/>
      <c r="AY817" s="175"/>
      <c r="BB817" s="176"/>
      <c r="BC817" s="176"/>
      <c r="BD817" s="172"/>
      <c r="BE817" s="170"/>
    </row>
    <row r="818" spans="3:57">
      <c r="C818" s="167"/>
      <c r="R818" s="211"/>
      <c r="T818" s="168"/>
      <c r="U818" s="169"/>
      <c r="V818" s="170"/>
      <c r="W818" s="170"/>
      <c r="AF818" s="171"/>
      <c r="AJ818" s="172"/>
      <c r="AK818" s="170"/>
      <c r="AM818" s="168"/>
      <c r="AN818" s="168"/>
      <c r="AV818" s="173"/>
      <c r="AW818" s="174"/>
      <c r="AY818" s="175"/>
      <c r="BB818" s="176"/>
      <c r="BC818" s="176"/>
      <c r="BD818" s="172"/>
      <c r="BE818" s="170"/>
    </row>
    <row r="819" spans="3:57">
      <c r="C819" s="167"/>
      <c r="R819" s="211"/>
      <c r="T819" s="168"/>
      <c r="U819" s="169"/>
      <c r="V819" s="170"/>
      <c r="W819" s="170"/>
      <c r="AF819" s="171"/>
      <c r="AJ819" s="172"/>
      <c r="AK819" s="170"/>
      <c r="AM819" s="168"/>
      <c r="AN819" s="168"/>
      <c r="AV819" s="173"/>
      <c r="AW819" s="174"/>
      <c r="AY819" s="175"/>
      <c r="BB819" s="176"/>
      <c r="BC819" s="176"/>
      <c r="BD819" s="172"/>
      <c r="BE819" s="170"/>
    </row>
    <row r="820" spans="3:57">
      <c r="C820" s="167"/>
      <c r="R820" s="211"/>
      <c r="T820" s="168"/>
      <c r="U820" s="169"/>
      <c r="V820" s="170"/>
      <c r="W820" s="170"/>
      <c r="AF820" s="171"/>
      <c r="AJ820" s="172"/>
      <c r="AK820" s="170"/>
      <c r="AM820" s="168"/>
      <c r="AN820" s="168"/>
      <c r="AV820" s="173"/>
      <c r="AW820" s="174"/>
      <c r="AY820" s="175"/>
      <c r="BB820" s="176"/>
      <c r="BC820" s="176"/>
      <c r="BD820" s="172"/>
      <c r="BE820" s="170"/>
    </row>
    <row r="821" spans="3:57">
      <c r="C821" s="167"/>
      <c r="R821" s="211"/>
      <c r="T821" s="168"/>
      <c r="U821" s="169"/>
      <c r="V821" s="170"/>
      <c r="W821" s="170"/>
      <c r="AF821" s="171"/>
      <c r="AJ821" s="172"/>
      <c r="AK821" s="170"/>
      <c r="AM821" s="168"/>
      <c r="AN821" s="168"/>
      <c r="AV821" s="173"/>
      <c r="AW821" s="174"/>
      <c r="AY821" s="175"/>
      <c r="BB821" s="176"/>
      <c r="BC821" s="176"/>
      <c r="BD821" s="172"/>
      <c r="BE821" s="170"/>
    </row>
    <row r="822" spans="3:57">
      <c r="C822" s="167"/>
      <c r="R822" s="211"/>
      <c r="T822" s="168"/>
      <c r="U822" s="169"/>
      <c r="V822" s="170"/>
      <c r="W822" s="170"/>
      <c r="AF822" s="171"/>
      <c r="AJ822" s="172"/>
      <c r="AK822" s="170"/>
      <c r="AM822" s="168"/>
      <c r="AN822" s="168"/>
      <c r="AV822" s="173"/>
      <c r="AW822" s="174"/>
      <c r="AY822" s="175"/>
      <c r="BB822" s="176"/>
      <c r="BC822" s="176"/>
      <c r="BD822" s="172"/>
      <c r="BE822" s="170"/>
    </row>
    <row r="823" spans="3:57">
      <c r="C823" s="167"/>
      <c r="R823" s="211"/>
      <c r="T823" s="168"/>
      <c r="U823" s="169"/>
      <c r="V823" s="170"/>
      <c r="W823" s="170"/>
      <c r="AF823" s="171"/>
      <c r="AJ823" s="172"/>
      <c r="AK823" s="170"/>
      <c r="AM823" s="168"/>
      <c r="AN823" s="168"/>
      <c r="AV823" s="173"/>
      <c r="AW823" s="174"/>
      <c r="AY823" s="175"/>
      <c r="BB823" s="176"/>
      <c r="BC823" s="176"/>
      <c r="BD823" s="172"/>
      <c r="BE823" s="170"/>
    </row>
    <row r="824" spans="3:57">
      <c r="C824" s="167"/>
      <c r="R824" s="211"/>
      <c r="T824" s="168"/>
      <c r="U824" s="169"/>
      <c r="V824" s="170"/>
      <c r="W824" s="170"/>
      <c r="AF824" s="171"/>
      <c r="AJ824" s="172"/>
      <c r="AK824" s="170"/>
      <c r="AM824" s="168"/>
      <c r="AN824" s="168"/>
      <c r="AV824" s="173"/>
      <c r="AW824" s="174"/>
      <c r="AY824" s="175"/>
      <c r="BB824" s="176"/>
      <c r="BC824" s="176"/>
      <c r="BD824" s="172"/>
      <c r="BE824" s="170"/>
    </row>
  </sheetData>
  <autoFilter ref="A3:BJ204" xr:uid="{5C8AE36D-1193-4E0B-903F-3445A06082D9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E00C0-F4B5-4FC4-8862-A16020F9A145}">
  <dimension ref="A1:BI208"/>
  <sheetViews>
    <sheetView topLeftCell="W3" workbookViewId="0">
      <selection activeCell="W10" sqref="W10"/>
    </sheetView>
  </sheetViews>
  <sheetFormatPr defaultColWidth="8.81640625" defaultRowHeight="14.5"/>
  <cols>
    <col min="1" max="1" width="13.7265625" style="257" customWidth="1"/>
    <col min="2" max="4" width="9.54296875" style="258" hidden="1" customWidth="1"/>
    <col min="5" max="5" width="10.7265625" style="257" bestFit="1" customWidth="1"/>
    <col min="6" max="6" width="14.453125" style="259" customWidth="1"/>
    <col min="7" max="7" width="31.1796875" style="257" customWidth="1"/>
    <col min="8" max="8" width="29.1796875" style="257" customWidth="1"/>
    <col min="9" max="9" width="27.1796875" style="257" customWidth="1"/>
    <col min="10" max="10" width="26.54296875" style="257" customWidth="1"/>
    <col min="11" max="11" width="32.54296875" style="257" hidden="1" customWidth="1"/>
    <col min="12" max="12" width="17.54296875" style="257" hidden="1" customWidth="1"/>
    <col min="13" max="14" width="20.54296875" style="257" customWidth="1"/>
    <col min="15" max="15" width="14.1796875" style="257" customWidth="1"/>
    <col min="16" max="16" width="22.453125" style="257" hidden="1" customWidth="1"/>
    <col min="17" max="17" width="15.453125" style="257" customWidth="1"/>
    <col min="18" max="18" width="21.81640625" style="257" customWidth="1"/>
    <col min="19" max="19" width="14.453125" style="260" hidden="1" customWidth="1"/>
    <col min="20" max="20" width="12.26953125" style="260" hidden="1" customWidth="1"/>
    <col min="21" max="21" width="14.7265625" style="260" customWidth="1"/>
    <col min="22" max="22" width="14.1796875" style="260" hidden="1" customWidth="1"/>
    <col min="23" max="23" width="17.453125" style="261" customWidth="1"/>
    <col min="24" max="24" width="15.26953125" style="262" customWidth="1"/>
    <col min="25" max="25" width="15.26953125" style="261" customWidth="1"/>
    <col min="26" max="26" width="16.453125" style="261" customWidth="1"/>
    <col min="27" max="28" width="15.26953125" style="261" customWidth="1"/>
    <col min="29" max="29" width="21" style="261" hidden="1" customWidth="1"/>
    <col min="30" max="30" width="21" style="261" customWidth="1"/>
    <col min="31" max="33" width="21" style="261" hidden="1" customWidth="1"/>
    <col min="34" max="34" width="18.26953125" style="257" hidden="1" customWidth="1"/>
    <col min="35" max="35" width="17.453125" style="257" hidden="1" customWidth="1"/>
    <col min="36" max="36" width="19.7265625" style="257" customWidth="1"/>
    <col min="37" max="37" width="33.453125" style="257" customWidth="1"/>
    <col min="38" max="38" width="12.54296875" style="263" bestFit="1" customWidth="1"/>
    <col min="39" max="39" width="20.1796875" style="263" bestFit="1" customWidth="1"/>
    <col min="40" max="40" width="16.7265625" style="264" bestFit="1" customWidth="1"/>
    <col min="41" max="42" width="18.26953125" style="263" customWidth="1"/>
    <col min="43" max="43" width="26.1796875" style="263" customWidth="1"/>
    <col min="44" max="45" width="18" style="263" customWidth="1"/>
    <col min="46" max="47" width="17.54296875" style="263" customWidth="1"/>
    <col min="48" max="48" width="17.54296875" style="265" customWidth="1"/>
    <col min="49" max="49" width="59.1796875" style="265" hidden="1" customWidth="1"/>
    <col min="50" max="50" width="30.453125" style="265" hidden="1" customWidth="1"/>
    <col min="51" max="52" width="18.81640625" style="266" customWidth="1"/>
    <col min="53" max="53" width="21.453125" style="267" customWidth="1"/>
    <col min="54" max="54" width="12" style="267" customWidth="1"/>
    <col min="55" max="55" width="21.453125" style="267" customWidth="1"/>
    <col min="56" max="56" width="27.453125" style="257" bestFit="1" customWidth="1"/>
    <col min="57" max="57" width="8.81640625" style="257"/>
    <col min="58" max="59" width="15.81640625" style="268" customWidth="1"/>
    <col min="60" max="60" width="29.7265625" style="257" customWidth="1"/>
    <col min="61" max="61" width="15.7265625" style="257" customWidth="1"/>
    <col min="62" max="16384" width="8.81640625" style="257"/>
  </cols>
  <sheetData>
    <row r="1" spans="1:61" ht="21" customHeight="1">
      <c r="AK1" s="42" t="s">
        <v>1972</v>
      </c>
    </row>
    <row r="2" spans="1:61" ht="21" customHeight="1">
      <c r="AK2" s="31" t="s">
        <v>250</v>
      </c>
    </row>
    <row r="3" spans="1:61" ht="21" customHeight="1">
      <c r="AK3" s="42" t="s">
        <v>271</v>
      </c>
    </row>
    <row r="4" spans="1:61" ht="10.5" customHeight="1">
      <c r="F4" s="319"/>
      <c r="G4" s="319"/>
      <c r="H4" s="319"/>
      <c r="I4" s="319"/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  <c r="U4" s="319"/>
      <c r="V4" s="319"/>
      <c r="W4" s="319"/>
      <c r="X4" s="319"/>
      <c r="Y4" s="319"/>
      <c r="Z4" s="320"/>
      <c r="AA4" s="320"/>
      <c r="AB4" s="320"/>
      <c r="AC4" s="320"/>
      <c r="AD4" s="320"/>
      <c r="AE4" s="320"/>
      <c r="AF4" s="320"/>
      <c r="AG4" s="320"/>
      <c r="AH4" s="319"/>
      <c r="AI4" s="319"/>
      <c r="AJ4" s="319"/>
      <c r="AK4" s="319"/>
      <c r="AL4" s="319"/>
      <c r="AM4" s="319"/>
      <c r="AN4" s="319"/>
      <c r="AO4" s="257"/>
      <c r="AP4" s="257"/>
      <c r="AQ4" s="263">
        <f>AQ6-2500000</f>
        <v>1708439624.2754848</v>
      </c>
    </row>
    <row r="5" spans="1:61" ht="10.5" customHeight="1">
      <c r="F5" s="319"/>
      <c r="G5" s="319"/>
      <c r="H5" s="319"/>
      <c r="I5" s="319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  <c r="U5" s="319"/>
      <c r="V5" s="319"/>
      <c r="W5" s="319"/>
      <c r="X5" s="319"/>
      <c r="Y5" s="319"/>
      <c r="Z5" s="320"/>
      <c r="AA5" s="320"/>
      <c r="AB5" s="320"/>
      <c r="AC5" s="320"/>
      <c r="AD5" s="320"/>
      <c r="AE5" s="320"/>
      <c r="AF5" s="320"/>
      <c r="AG5" s="320"/>
      <c r="AH5" s="319"/>
      <c r="AI5" s="319"/>
      <c r="AJ5" s="319"/>
      <c r="AK5" s="319"/>
      <c r="AL5" s="319"/>
      <c r="AM5" s="319"/>
      <c r="AN5" s="319"/>
      <c r="AO5" s="257"/>
      <c r="AP5" s="257"/>
      <c r="AQ5" s="257"/>
      <c r="AR5" s="257"/>
      <c r="AS5" s="257"/>
      <c r="AV5" s="269"/>
      <c r="AW5" s="269"/>
      <c r="AX5" s="269"/>
    </row>
    <row r="6" spans="1:61" ht="17.5" customHeight="1">
      <c r="E6" s="270"/>
      <c r="F6" s="271"/>
      <c r="G6" s="270"/>
      <c r="H6" s="270"/>
      <c r="I6" s="270"/>
      <c r="J6" s="272"/>
      <c r="K6" s="272"/>
      <c r="L6" s="272"/>
      <c r="M6" s="269">
        <f>SUBTOTAL(3,$M$8:$M$938)</f>
        <v>201</v>
      </c>
      <c r="N6" s="269"/>
      <c r="O6" s="270"/>
      <c r="P6" s="270"/>
      <c r="Q6" s="270">
        <f>SUBTOTAL(3, Q8:Q263)</f>
        <v>201</v>
      </c>
      <c r="R6" s="270"/>
      <c r="S6" s="273"/>
      <c r="T6" s="273"/>
      <c r="U6" s="273"/>
      <c r="V6" s="273"/>
      <c r="W6" s="269">
        <f>SUBTOTAL(9,W8:W653)</f>
        <v>412760583</v>
      </c>
      <c r="X6" s="269">
        <f>SUBTOTAL(9,X8:X653)</f>
        <v>0</v>
      </c>
      <c r="Y6" s="269">
        <f>SUBTOTAL(9,Y8:Y653)</f>
        <v>75182103</v>
      </c>
      <c r="Z6" s="269">
        <f>SUBTOTAL(9,Z8:Z653)</f>
        <v>0</v>
      </c>
      <c r="AA6" s="269">
        <f>SUBTOTAL(9,AA8:AA653)</f>
        <v>984410000</v>
      </c>
      <c r="AB6" s="269">
        <f t="shared" ref="AB6:AD6" si="0">SUBTOTAL(9,AB8:AB653)</f>
        <v>984410000</v>
      </c>
      <c r="AC6" s="269">
        <f t="shared" si="0"/>
        <v>984410000</v>
      </c>
      <c r="AD6" s="269">
        <f t="shared" si="0"/>
        <v>984410000</v>
      </c>
      <c r="AE6" s="274"/>
      <c r="AF6" s="274"/>
      <c r="AG6" s="274"/>
      <c r="AH6" s="270" t="s">
        <v>1973</v>
      </c>
      <c r="AI6" s="270"/>
      <c r="AJ6" s="275" t="s">
        <v>1974</v>
      </c>
      <c r="AK6" s="272"/>
      <c r="AL6" s="269">
        <f t="shared" ref="AL6:AV6" si="1">SUBTOTAL(9,AL8:AL653)</f>
        <v>3144500000</v>
      </c>
      <c r="AM6" s="269">
        <f t="shared" si="1"/>
        <v>0</v>
      </c>
      <c r="AN6" s="269">
        <f t="shared" si="1"/>
        <v>0</v>
      </c>
      <c r="AO6" s="269">
        <f t="shared" si="1"/>
        <v>1619659624.2754848</v>
      </c>
      <c r="AP6" s="269">
        <f t="shared" si="1"/>
        <v>1616939624.2754848</v>
      </c>
      <c r="AQ6" s="269">
        <f t="shared" si="1"/>
        <v>1710939624.2754848</v>
      </c>
      <c r="AR6" s="269">
        <f t="shared" si="1"/>
        <v>0</v>
      </c>
      <c r="AS6" s="269">
        <f t="shared" si="1"/>
        <v>94000000</v>
      </c>
      <c r="AT6" s="269">
        <f t="shared" si="1"/>
        <v>224180000</v>
      </c>
      <c r="AU6" s="269">
        <f t="shared" si="1"/>
        <v>307367663.72500002</v>
      </c>
      <c r="AV6" s="269">
        <f t="shared" si="1"/>
        <v>63461338</v>
      </c>
      <c r="AW6" s="269"/>
      <c r="AX6" s="269"/>
      <c r="AY6" s="276"/>
      <c r="AZ6" s="276"/>
      <c r="BD6" s="270"/>
    </row>
    <row r="7" spans="1:61" s="259" customFormat="1" ht="92.15" customHeight="1">
      <c r="A7" s="17" t="s">
        <v>214</v>
      </c>
      <c r="B7" s="177"/>
      <c r="C7" s="177"/>
      <c r="D7" s="177"/>
      <c r="E7" s="17" t="s">
        <v>215</v>
      </c>
      <c r="F7" s="17" t="s">
        <v>216</v>
      </c>
      <c r="G7" s="17" t="s">
        <v>217</v>
      </c>
      <c r="H7" s="17" t="s">
        <v>218</v>
      </c>
      <c r="I7" s="17" t="s">
        <v>219</v>
      </c>
      <c r="J7" s="17" t="s">
        <v>4</v>
      </c>
      <c r="K7" s="17" t="s">
        <v>220</v>
      </c>
      <c r="L7" s="17" t="s">
        <v>221</v>
      </c>
      <c r="M7" s="17" t="s">
        <v>37</v>
      </c>
      <c r="N7" s="18" t="s">
        <v>1002</v>
      </c>
      <c r="O7" s="18" t="s">
        <v>222</v>
      </c>
      <c r="P7" s="17" t="s">
        <v>223</v>
      </c>
      <c r="Q7" s="17" t="s">
        <v>40</v>
      </c>
      <c r="R7" s="17" t="s">
        <v>224</v>
      </c>
      <c r="S7" s="19" t="s">
        <v>59</v>
      </c>
      <c r="T7" s="19" t="s">
        <v>225</v>
      </c>
      <c r="U7" s="19" t="s">
        <v>226</v>
      </c>
      <c r="V7" s="19" t="s">
        <v>227</v>
      </c>
      <c r="W7" s="20" t="s">
        <v>228</v>
      </c>
      <c r="X7" s="21" t="s">
        <v>229</v>
      </c>
      <c r="Y7" s="20" t="s">
        <v>230</v>
      </c>
      <c r="Z7" s="21" t="s">
        <v>231</v>
      </c>
      <c r="AA7" s="20" t="s">
        <v>77</v>
      </c>
      <c r="AB7" s="22" t="s">
        <v>232</v>
      </c>
      <c r="AC7" s="22" t="s">
        <v>233</v>
      </c>
      <c r="AD7" s="22" t="s">
        <v>234</v>
      </c>
      <c r="AE7" s="23" t="s">
        <v>235</v>
      </c>
      <c r="AF7" s="23" t="s">
        <v>236</v>
      </c>
      <c r="AG7" s="22" t="s">
        <v>237</v>
      </c>
      <c r="AH7" s="17" t="s">
        <v>238</v>
      </c>
      <c r="AI7" s="17" t="s">
        <v>239</v>
      </c>
      <c r="AJ7" s="17" t="s">
        <v>240</v>
      </c>
      <c r="AK7" s="17" t="s">
        <v>241</v>
      </c>
      <c r="AL7" s="19" t="s">
        <v>242</v>
      </c>
      <c r="AM7" s="19" t="s">
        <v>243</v>
      </c>
      <c r="AN7" s="19" t="s">
        <v>244</v>
      </c>
      <c r="AO7" s="19" t="s">
        <v>245</v>
      </c>
      <c r="AP7" s="24" t="s">
        <v>302</v>
      </c>
      <c r="AQ7" s="24" t="s">
        <v>1003</v>
      </c>
      <c r="AR7" s="45" t="s">
        <v>1004</v>
      </c>
      <c r="AS7" s="45" t="s">
        <v>1005</v>
      </c>
      <c r="AT7" s="45" t="s">
        <v>1006</v>
      </c>
      <c r="AU7" s="45" t="s">
        <v>1007</v>
      </c>
      <c r="AV7" s="45" t="s">
        <v>1008</v>
      </c>
      <c r="AW7" s="45" t="s">
        <v>1975</v>
      </c>
      <c r="AX7" s="45" t="s">
        <v>1945</v>
      </c>
      <c r="AY7" s="277"/>
      <c r="AZ7" s="19" t="s">
        <v>1976</v>
      </c>
      <c r="BA7" s="19"/>
      <c r="BB7" s="19" t="s">
        <v>1977</v>
      </c>
      <c r="BC7" s="19" t="s">
        <v>1978</v>
      </c>
      <c r="BD7" s="17" t="s">
        <v>217</v>
      </c>
      <c r="BF7" s="278" t="s">
        <v>1979</v>
      </c>
      <c r="BG7" s="278" t="s">
        <v>1980</v>
      </c>
      <c r="BI7" s="259" t="s">
        <v>45</v>
      </c>
    </row>
    <row r="8" spans="1:61" ht="20.149999999999999" customHeight="1">
      <c r="A8" s="178">
        <v>46084</v>
      </c>
      <c r="B8" s="179">
        <f t="shared" ref="B8:B71" si="2">DAY(A8)</f>
        <v>3</v>
      </c>
      <c r="C8" s="179">
        <f t="shared" ref="C8:C71" si="3">MONTH(A8)</f>
        <v>3</v>
      </c>
      <c r="D8" s="179">
        <f t="shared" ref="D8:D71" si="4">YEAR(A8)</f>
        <v>2026</v>
      </c>
      <c r="E8" s="178">
        <v>46114</v>
      </c>
      <c r="F8" s="26" t="s">
        <v>1009</v>
      </c>
      <c r="G8" s="27" t="s">
        <v>246</v>
      </c>
      <c r="H8" s="28" t="s">
        <v>175</v>
      </c>
      <c r="I8" s="28" t="s">
        <v>247</v>
      </c>
      <c r="J8" s="28" t="s">
        <v>363</v>
      </c>
      <c r="K8" s="29"/>
      <c r="L8" s="29"/>
      <c r="M8" s="30" t="s">
        <v>50</v>
      </c>
      <c r="N8" s="30" t="s">
        <v>1010</v>
      </c>
      <c r="O8" s="31" t="s">
        <v>365</v>
      </c>
      <c r="P8" s="32"/>
      <c r="Q8" s="180">
        <v>1</v>
      </c>
      <c r="R8" s="32" t="s">
        <v>367</v>
      </c>
      <c r="S8" s="33"/>
      <c r="T8" s="33"/>
      <c r="U8" s="33">
        <v>935772727</v>
      </c>
      <c r="V8" s="33"/>
      <c r="W8" s="34"/>
      <c r="X8" s="35"/>
      <c r="Y8" s="34">
        <v>1859259</v>
      </c>
      <c r="Z8" s="35"/>
      <c r="AA8" s="36">
        <v>0</v>
      </c>
      <c r="AB8" s="36">
        <f t="shared" ref="AB8:AB40" si="5">SUM(X8:AA8)-Y8</f>
        <v>0</v>
      </c>
      <c r="AC8" s="37">
        <f t="shared" ref="AC8:AC40" si="6">SUM(X8:AA8)-Y8-X8</f>
        <v>0</v>
      </c>
      <c r="AD8" s="40">
        <f>AC8</f>
        <v>0</v>
      </c>
      <c r="AE8" s="37"/>
      <c r="AF8" s="37"/>
      <c r="AG8" s="37"/>
      <c r="AH8" s="33"/>
      <c r="AI8" s="38"/>
      <c r="AJ8" s="39"/>
      <c r="AK8" s="42" t="s">
        <v>271</v>
      </c>
      <c r="AL8" s="256">
        <f>IF(E8&gt;=DATE(2026,4,1),IF(OR($AK8="Khách hàng thông thường",$AK8="Khách hàng chuyển đổi xe xăng"),IFERROR(VLOOKUP($M8,'[1]CSBH THƯỞNG XE'!$U$3:$YY$800,3,0),0),IF($AK8="Khách hàng Khối Quân đội - Công An",IFERROR(VLOOKUP($M8,'[1]CSBH THƯỞNG XE'!$U$3:$X$600,4,0),0),IF($AK8="Khách hàng Giờ trái đất",IFERROR(VLOOKUP($M8,'[1]CSBH THƯỞNG XE'!$U$3:$Y$700,5,0),0),0))),0)*90%</f>
        <v>18000000</v>
      </c>
      <c r="AM8" s="181"/>
      <c r="AN8" s="181"/>
      <c r="AO8" s="182">
        <f>+(AL8+AM8+AN8-AD8)*(60%+BF8+BG8)</f>
        <v>10800000</v>
      </c>
      <c r="AP8" s="182">
        <f>AO8*100%</f>
        <v>10800000</v>
      </c>
      <c r="AQ8" s="183">
        <f>AP8+AR8+AS8</f>
        <v>10800000</v>
      </c>
      <c r="AR8" s="46">
        <f t="shared" ref="AR8:AR71" si="7">IF(AND(LEFT(R8,3)="VF8",OR(RIGHT(R8,6)="997261", RIGHT(R8,6)="997323")),10000000,0)+IF(AND(LEFT(R8,3)="VF7",OR(RIGHT(R8,6)="879204",RIGHT(R8,6)="888618",RIGHT(R8,6)="888692",RIGHT(R8,6)="878174")),5000000,0)+IF(AND(LEFT(R8,3)="VF9",OR(RIGHT(R8,6)="703199",RIGHT(R8,6)="814035",RIGHT(R8,6)="788297",RIGHT(R8,6)="815790")),10000000,0)</f>
        <v>0</v>
      </c>
      <c r="AS8" s="46">
        <f t="shared" ref="AS8:AS71" si="8">IF(N8="TRẮNG",0,IF(AND(M8="Limo green",A8&lt;DATE(2026,4,21)),3000000,IF(AND(M8="Limo green",A8&lt;=DATE(2026,4,30)),5000000,0)))</f>
        <v>0</v>
      </c>
      <c r="AT8" s="46">
        <v>0</v>
      </c>
      <c r="AU8" s="46">
        <v>0</v>
      </c>
      <c r="AV8" s="47"/>
      <c r="AW8" s="279"/>
      <c r="AX8" s="279"/>
      <c r="AZ8" s="280"/>
      <c r="BA8" s="281" t="s">
        <v>1981</v>
      </c>
      <c r="BB8" s="282">
        <f>VLOOKUP(H8,[1]NVKD!$C$1:$M$3296,11,0)</f>
        <v>3</v>
      </c>
      <c r="BC8" s="281" t="s">
        <v>1982</v>
      </c>
      <c r="BD8" s="283" t="str">
        <f t="shared" ref="BD8:BD71" si="9">G8</f>
        <v>Showroom Bến Lức</v>
      </c>
      <c r="BF8" s="284">
        <f t="shared" ref="BF8:BF71" si="10">IFERROR(IF(BC8="Trả thẳng",20%,IF(W8=0,0,IF(W8/4000000&lt;0.5,0,MIN(W8/4000000*20%,20%)))),0)</f>
        <v>0</v>
      </c>
      <c r="BG8" s="284">
        <f>IFERROR(IF(Y8=0,0, IF(Y8 / VLOOKUP(M8,'[1]CSBH THƯỞNG XE'!$U$3:$AA$1100,7,FALSE) &lt; 0.5,0,MIN((Y8 / VLOOKUP(M8,'[1]CSBH THƯỞNG XE'!$U$3:$AA$1100,7,FALSE)) * 20%,20%))),0)</f>
        <v>0</v>
      </c>
      <c r="BH8" s="257" t="s">
        <v>364</v>
      </c>
      <c r="BI8" s="263"/>
    </row>
    <row r="9" spans="1:61" ht="20.149999999999999" customHeight="1">
      <c r="A9" s="178">
        <v>46105</v>
      </c>
      <c r="B9" s="179">
        <f t="shared" si="2"/>
        <v>24</v>
      </c>
      <c r="C9" s="179">
        <f t="shared" si="3"/>
        <v>3</v>
      </c>
      <c r="D9" s="179">
        <f t="shared" si="4"/>
        <v>2026</v>
      </c>
      <c r="E9" s="178">
        <v>46114</v>
      </c>
      <c r="F9" s="26" t="s">
        <v>1011</v>
      </c>
      <c r="G9" s="27" t="s">
        <v>258</v>
      </c>
      <c r="H9" s="28" t="s">
        <v>200</v>
      </c>
      <c r="I9" s="28" t="s">
        <v>259</v>
      </c>
      <c r="J9" s="28" t="s">
        <v>1012</v>
      </c>
      <c r="K9" s="29"/>
      <c r="L9" s="29"/>
      <c r="M9" s="30" t="s">
        <v>56</v>
      </c>
      <c r="N9" s="30" t="s">
        <v>260</v>
      </c>
      <c r="O9" s="31" t="s">
        <v>140</v>
      </c>
      <c r="P9" s="32"/>
      <c r="Q9" s="180">
        <v>1</v>
      </c>
      <c r="R9" s="32" t="s">
        <v>386</v>
      </c>
      <c r="S9" s="33"/>
      <c r="T9" s="33"/>
      <c r="U9" s="33">
        <v>260590909</v>
      </c>
      <c r="V9" s="33"/>
      <c r="W9" s="34"/>
      <c r="X9" s="35"/>
      <c r="Y9" s="34"/>
      <c r="Z9" s="35"/>
      <c r="AA9" s="36">
        <v>0</v>
      </c>
      <c r="AB9" s="36">
        <f t="shared" si="5"/>
        <v>0</v>
      </c>
      <c r="AC9" s="37">
        <f t="shared" si="6"/>
        <v>0</v>
      </c>
      <c r="AD9" s="40">
        <f t="shared" ref="AD9:AD125" si="11">AC9</f>
        <v>0</v>
      </c>
      <c r="AE9" s="37"/>
      <c r="AF9" s="37"/>
      <c r="AG9" s="37"/>
      <c r="AH9" s="33"/>
      <c r="AI9" s="38"/>
      <c r="AJ9" s="39"/>
      <c r="AK9" s="31" t="s">
        <v>250</v>
      </c>
      <c r="AL9" s="181">
        <f>IF(E9&gt;=DATE(2026,4,1),IF(OR($AK9="Khách hàng thông thường",$AK9="Khách hàng chuyển đổi xe xăng"),IFERROR(VLOOKUP($M9,'[1]CSBH THƯỞNG XE'!$U$3:$YY$800,3,0),0),IF($AK9="Khách hàng Khối Quân đội - Công An",IFERROR(VLOOKUP($M9,'[1]CSBH THƯỞNG XE'!$U$3:$X$600,4,0),0),IF($AK9="Khách hàng Giờ trái đất",IFERROR(VLOOKUP($M9,'[1]CSBH THƯỞNG XE'!$U$3:$Y$700,5,0),0),0))),0)</f>
        <v>8500000</v>
      </c>
      <c r="AM9" s="181"/>
      <c r="AN9" s="181"/>
      <c r="AO9" s="182">
        <f t="shared" ref="AO9:AO71" si="12">+(AL9+AM9+AN9-AD9)*(60%+BF9+BG9)</f>
        <v>5100000</v>
      </c>
      <c r="AP9" s="182">
        <f t="shared" ref="AP9:AP72" si="13">AO9*100%</f>
        <v>5100000</v>
      </c>
      <c r="AQ9" s="183">
        <f t="shared" ref="AQ9:AQ72" si="14">AP9+AR9+AS9</f>
        <v>5100000</v>
      </c>
      <c r="AR9" s="46">
        <f t="shared" si="7"/>
        <v>0</v>
      </c>
      <c r="AS9" s="46">
        <f t="shared" si="8"/>
        <v>0</v>
      </c>
      <c r="AT9" s="46">
        <v>0</v>
      </c>
      <c r="AU9" s="46">
        <v>0</v>
      </c>
      <c r="AV9" s="47"/>
      <c r="AW9" s="279"/>
      <c r="AX9" s="279"/>
      <c r="AZ9" s="280"/>
      <c r="BA9" s="281" t="s">
        <v>1981</v>
      </c>
      <c r="BB9" s="282">
        <f>VLOOKUP(H9,[1]NVKD!$C$1:$M$3296,11,0)</f>
        <v>3</v>
      </c>
      <c r="BC9" s="281" t="s">
        <v>1982</v>
      </c>
      <c r="BD9" s="283" t="str">
        <f t="shared" si="9"/>
        <v>Showroom 50 Nguyễn Văn Tăng</v>
      </c>
      <c r="BF9" s="284">
        <f t="shared" si="10"/>
        <v>0</v>
      </c>
      <c r="BG9" s="284">
        <f>IFERROR(IF(Y9=0,0, IF(Y9 / VLOOKUP(M9,'[1]CSBH THƯỞNG XE'!$U$3:$AA$1100,7,FALSE) &lt; 0.5,0,MIN((Y9 / VLOOKUP(M9,'[1]CSBH THƯỞNG XE'!$U$3:$AA$1100,7,FALSE)) * 20%,20%))),0)</f>
        <v>0</v>
      </c>
      <c r="BI9" s="263"/>
    </row>
    <row r="10" spans="1:61" ht="20.149999999999999" customHeight="1">
      <c r="A10" s="178">
        <v>46108</v>
      </c>
      <c r="B10" s="179">
        <f t="shared" si="2"/>
        <v>27</v>
      </c>
      <c r="C10" s="179">
        <f t="shared" si="3"/>
        <v>3</v>
      </c>
      <c r="D10" s="179">
        <f t="shared" si="4"/>
        <v>2026</v>
      </c>
      <c r="E10" s="178">
        <v>46114</v>
      </c>
      <c r="F10" s="26" t="s">
        <v>1013</v>
      </c>
      <c r="G10" s="27" t="s">
        <v>254</v>
      </c>
      <c r="H10" s="28" t="s">
        <v>131</v>
      </c>
      <c r="I10" s="28" t="s">
        <v>169</v>
      </c>
      <c r="J10" s="28" t="s">
        <v>316</v>
      </c>
      <c r="K10" s="29"/>
      <c r="L10" s="29"/>
      <c r="M10" s="30" t="s">
        <v>276</v>
      </c>
      <c r="N10" s="30" t="s">
        <v>275</v>
      </c>
      <c r="O10" s="31" t="s">
        <v>105</v>
      </c>
      <c r="P10" s="32"/>
      <c r="Q10" s="180">
        <v>1</v>
      </c>
      <c r="R10" s="32" t="s">
        <v>318</v>
      </c>
      <c r="S10" s="33"/>
      <c r="T10" s="33"/>
      <c r="U10" s="33">
        <v>632090909</v>
      </c>
      <c r="V10" s="33"/>
      <c r="W10" s="34">
        <v>10846680</v>
      </c>
      <c r="X10" s="35"/>
      <c r="Y10" s="34"/>
      <c r="Z10" s="35"/>
      <c r="AA10" s="36">
        <v>5000000</v>
      </c>
      <c r="AB10" s="36">
        <f t="shared" si="5"/>
        <v>5000000</v>
      </c>
      <c r="AC10" s="37">
        <f t="shared" si="6"/>
        <v>5000000</v>
      </c>
      <c r="AD10" s="40">
        <f t="shared" si="11"/>
        <v>5000000</v>
      </c>
      <c r="AE10" s="37"/>
      <c r="AF10" s="37"/>
      <c r="AG10" s="37"/>
      <c r="AH10" s="33"/>
      <c r="AI10" s="38"/>
      <c r="AJ10" s="39"/>
      <c r="AK10" s="31" t="s">
        <v>250</v>
      </c>
      <c r="AL10" s="181">
        <f>IF(E10&gt;=DATE(2026,4,1),IF(OR($AK10="Khách hàng thông thường",$AK10="Khách hàng chuyển đổi xe xăng"),IFERROR(VLOOKUP($M10,'[1]CSBH THƯỞNG XE'!$U$3:$YY$800,3,0),0),IF($AK10="Khách hàng Khối Quân đội - Công An",IFERROR(VLOOKUP($M10,'[1]CSBH THƯỞNG XE'!$U$3:$X$600,4,0),0),IF($AK10="Khách hàng Giờ trái đất",IFERROR(VLOOKUP($M10,'[1]CSBH THƯỞNG XE'!$U$3:$Y$700,5,0),0),0))),0)</f>
        <v>20000000</v>
      </c>
      <c r="AM10" s="181"/>
      <c r="AN10" s="181"/>
      <c r="AO10" s="182">
        <f>+(AL10+AM10+AN10-AD10)*(60%+BF10+BG10)</f>
        <v>12000000</v>
      </c>
      <c r="AP10" s="182">
        <f t="shared" si="13"/>
        <v>12000000</v>
      </c>
      <c r="AQ10" s="183">
        <f t="shared" si="14"/>
        <v>12000000</v>
      </c>
      <c r="AR10" s="46">
        <f t="shared" si="7"/>
        <v>0</v>
      </c>
      <c r="AS10" s="46">
        <f t="shared" si="8"/>
        <v>0</v>
      </c>
      <c r="AT10" s="46">
        <v>0</v>
      </c>
      <c r="AU10" s="46">
        <v>10846680</v>
      </c>
      <c r="AV10" s="47"/>
      <c r="AW10" s="279"/>
      <c r="AX10" s="279"/>
      <c r="AZ10" s="280"/>
      <c r="BA10" s="281" t="s">
        <v>1983</v>
      </c>
      <c r="BB10" s="282">
        <f>VLOOKUP(H10,[1]NVKD!$C$1:$M$3296,11,0)</f>
        <v>3</v>
      </c>
      <c r="BC10" s="281" t="s">
        <v>1982</v>
      </c>
      <c r="BD10" s="283" t="str">
        <f t="shared" si="9"/>
        <v>Showroom Sala</v>
      </c>
      <c r="BF10" s="284">
        <f t="shared" si="10"/>
        <v>0.2</v>
      </c>
      <c r="BG10" s="284">
        <f>IFERROR(IF(Y10=0,0, IF(Y10 / VLOOKUP(M10,'[1]CSBH THƯỞNG XE'!$U$3:$AA$1100,7,FALSE) &lt; 0.5,0,MIN((Y10 / VLOOKUP(M10,'[1]CSBH THƯỞNG XE'!$U$3:$AA$1100,7,FALSE)) * 20%,20%))),0)</f>
        <v>0</v>
      </c>
      <c r="BI10" s="263"/>
    </row>
    <row r="11" spans="1:61" ht="20.149999999999999" customHeight="1">
      <c r="A11" s="178">
        <v>46103</v>
      </c>
      <c r="B11" s="179">
        <f t="shared" si="2"/>
        <v>22</v>
      </c>
      <c r="C11" s="179">
        <f t="shared" si="3"/>
        <v>3</v>
      </c>
      <c r="D11" s="179">
        <f t="shared" si="4"/>
        <v>2026</v>
      </c>
      <c r="E11" s="178">
        <v>46114</v>
      </c>
      <c r="F11" s="26" t="s">
        <v>1014</v>
      </c>
      <c r="G11" s="27" t="s">
        <v>246</v>
      </c>
      <c r="H11" s="28" t="s">
        <v>113</v>
      </c>
      <c r="I11" s="28" t="s">
        <v>247</v>
      </c>
      <c r="J11" s="28" t="s">
        <v>370</v>
      </c>
      <c r="K11" s="29"/>
      <c r="L11" s="29"/>
      <c r="M11" s="30" t="s">
        <v>127</v>
      </c>
      <c r="N11" s="30" t="s">
        <v>274</v>
      </c>
      <c r="O11" s="31">
        <v>0</v>
      </c>
      <c r="P11" s="32"/>
      <c r="Q11" s="180">
        <v>1</v>
      </c>
      <c r="R11" s="32" t="s">
        <v>372</v>
      </c>
      <c r="S11" s="33"/>
      <c r="T11" s="33"/>
      <c r="U11" s="33">
        <v>224418182</v>
      </c>
      <c r="V11" s="33"/>
      <c r="W11" s="34"/>
      <c r="X11" s="35"/>
      <c r="Y11" s="34"/>
      <c r="Z11" s="35"/>
      <c r="AA11" s="36">
        <v>0</v>
      </c>
      <c r="AB11" s="36">
        <f t="shared" si="5"/>
        <v>0</v>
      </c>
      <c r="AC11" s="37">
        <f t="shared" si="6"/>
        <v>0</v>
      </c>
      <c r="AD11" s="40">
        <f t="shared" si="11"/>
        <v>0</v>
      </c>
      <c r="AE11" s="37"/>
      <c r="AF11" s="37"/>
      <c r="AG11" s="37"/>
      <c r="AH11" s="33"/>
      <c r="AI11" s="38"/>
      <c r="AJ11" s="39"/>
      <c r="AK11" s="31" t="s">
        <v>250</v>
      </c>
      <c r="AL11" s="181">
        <f>IF(E11&gt;=DATE(2026,4,1),IF(OR($AK11="Khách hàng thông thường",$AK11="Khách hàng chuyển đổi xe xăng"),IFERROR(VLOOKUP($M11,'[1]CSBH THƯỞNG XE'!$U$3:$YY$800,3,0),0),IF($AK11="Khách hàng Khối Quân đội - Công An",IFERROR(VLOOKUP($M11,'[1]CSBH THƯỞNG XE'!$U$3:$X$600,4,0),0),IF($AK11="Khách hàng Giờ trái đất",IFERROR(VLOOKUP($M11,'[1]CSBH THƯỞNG XE'!$U$3:$Y$700,5,0),0),0))),0)</f>
        <v>6500000</v>
      </c>
      <c r="AM11" s="181"/>
      <c r="AN11" s="181"/>
      <c r="AO11" s="182">
        <f t="shared" si="12"/>
        <v>5200000</v>
      </c>
      <c r="AP11" s="182">
        <f t="shared" si="13"/>
        <v>5200000</v>
      </c>
      <c r="AQ11" s="183">
        <f t="shared" si="14"/>
        <v>5200000</v>
      </c>
      <c r="AR11" s="46">
        <f t="shared" si="7"/>
        <v>0</v>
      </c>
      <c r="AS11" s="46">
        <f t="shared" si="8"/>
        <v>0</v>
      </c>
      <c r="AT11" s="46">
        <v>0</v>
      </c>
      <c r="AU11" s="46">
        <v>0</v>
      </c>
      <c r="AV11" s="47"/>
      <c r="AW11" s="279"/>
      <c r="AX11" s="279"/>
      <c r="AZ11" s="280"/>
      <c r="BA11" s="281" t="s">
        <v>1983</v>
      </c>
      <c r="BB11" s="282">
        <f>VLOOKUP(H11,[1]NVKD!$C$1:$M$3296,11,0)</f>
        <v>5</v>
      </c>
      <c r="BC11" s="281" t="s">
        <v>1984</v>
      </c>
      <c r="BD11" s="283" t="str">
        <f t="shared" si="9"/>
        <v>Showroom Bến Lức</v>
      </c>
      <c r="BF11" s="284">
        <f t="shared" si="10"/>
        <v>0.2</v>
      </c>
      <c r="BG11" s="284">
        <f>IFERROR(IF(Y11=0,0, IF(Y11 / VLOOKUP(M11,'[1]CSBH THƯỞNG XE'!$U$3:$AA$1100,7,FALSE) &lt; 0.5,0,MIN((Y11 / VLOOKUP(M11,'[1]CSBH THƯỞNG XE'!$U$3:$AA$1100,7,FALSE)) * 20%,20%))),0)</f>
        <v>0</v>
      </c>
      <c r="BI11" s="263"/>
    </row>
    <row r="12" spans="1:61" ht="20.149999999999999" customHeight="1">
      <c r="A12" s="178">
        <v>46114</v>
      </c>
      <c r="B12" s="179">
        <f t="shared" si="2"/>
        <v>2</v>
      </c>
      <c r="C12" s="179">
        <f t="shared" si="3"/>
        <v>4</v>
      </c>
      <c r="D12" s="179">
        <f t="shared" si="4"/>
        <v>2026</v>
      </c>
      <c r="E12" s="178">
        <v>46115</v>
      </c>
      <c r="F12" s="26" t="s">
        <v>1015</v>
      </c>
      <c r="G12" s="27" t="s">
        <v>254</v>
      </c>
      <c r="H12" s="28" t="s">
        <v>1016</v>
      </c>
      <c r="I12" s="28" t="s">
        <v>169</v>
      </c>
      <c r="J12" s="28" t="s">
        <v>326</v>
      </c>
      <c r="K12" s="29"/>
      <c r="L12" s="29"/>
      <c r="M12" s="30" t="s">
        <v>1017</v>
      </c>
      <c r="N12" s="30" t="s">
        <v>284</v>
      </c>
      <c r="O12" s="31" t="s">
        <v>134</v>
      </c>
      <c r="P12" s="32"/>
      <c r="Q12" s="180">
        <v>1</v>
      </c>
      <c r="R12" s="32" t="s">
        <v>329</v>
      </c>
      <c r="S12" s="33"/>
      <c r="T12" s="33"/>
      <c r="U12" s="33">
        <v>1117390909</v>
      </c>
      <c r="V12" s="33"/>
      <c r="W12" s="34"/>
      <c r="X12" s="35"/>
      <c r="Y12" s="34"/>
      <c r="Z12" s="35"/>
      <c r="AA12" s="36">
        <v>25000000</v>
      </c>
      <c r="AB12" s="36">
        <f t="shared" si="5"/>
        <v>25000000</v>
      </c>
      <c r="AC12" s="37">
        <f t="shared" si="6"/>
        <v>25000000</v>
      </c>
      <c r="AD12" s="40">
        <f t="shared" si="11"/>
        <v>25000000</v>
      </c>
      <c r="AE12" s="37"/>
      <c r="AF12" s="37"/>
      <c r="AG12" s="37"/>
      <c r="AH12" s="33"/>
      <c r="AI12" s="38"/>
      <c r="AJ12" s="39"/>
      <c r="AK12" s="31" t="s">
        <v>250</v>
      </c>
      <c r="AL12" s="256">
        <f>IF(E12&gt;=DATE(2026,4,1),IF(OR($AK12="Khách hàng thông thường",$AK12="Khách hàng chuyển đổi xe xăng"),IFERROR(VLOOKUP($M12,'[1]CSBH THƯỞNG XE'!$U$3:$YY$800,3,0),0),IF($AK12="Khách hàng Khối Quân đội - Công An",IFERROR(VLOOKUP($M12,'[1]CSBH THƯỞNG XE'!$U$3:$X$600,4,0),0),IF($AK12="Khách hàng Giờ trái đất",IFERROR(VLOOKUP($M12,'[1]CSBH THƯỞNG XE'!$U$3:$Y$700,5,0),0),0))),0)*90%</f>
        <v>72000000</v>
      </c>
      <c r="AM12" s="181"/>
      <c r="AN12" s="181"/>
      <c r="AO12" s="182">
        <f t="shared" si="12"/>
        <v>37600000</v>
      </c>
      <c r="AP12" s="182">
        <f t="shared" si="13"/>
        <v>37600000</v>
      </c>
      <c r="AQ12" s="183">
        <f t="shared" si="14"/>
        <v>37600000</v>
      </c>
      <c r="AR12" s="46">
        <f t="shared" si="7"/>
        <v>0</v>
      </c>
      <c r="AS12" s="46">
        <f t="shared" si="8"/>
        <v>0</v>
      </c>
      <c r="AT12" s="46">
        <v>0</v>
      </c>
      <c r="AU12" s="46">
        <v>0</v>
      </c>
      <c r="AV12" s="47"/>
      <c r="AW12" s="279"/>
      <c r="AX12" s="279"/>
      <c r="AZ12" s="280"/>
      <c r="BA12" s="281" t="s">
        <v>1981</v>
      </c>
      <c r="BB12" s="282">
        <f>VLOOKUP(H12,[1]NVKD!$C$1:$M$3296,11,0)</f>
        <v>4</v>
      </c>
      <c r="BC12" s="281" t="s">
        <v>1984</v>
      </c>
      <c r="BD12" s="283" t="str">
        <f t="shared" si="9"/>
        <v>Showroom Sala</v>
      </c>
      <c r="BF12" s="284">
        <f t="shared" si="10"/>
        <v>0.2</v>
      </c>
      <c r="BG12" s="284">
        <f>IFERROR(IF(Y12=0,0, IF(Y12 / VLOOKUP(M12,'[1]CSBH THƯỞNG XE'!$U$3:$AA$1100,7,FALSE) &lt; 0.5,0,MIN((Y12 / VLOOKUP(M12,'[1]CSBH THƯỞNG XE'!$U$3:$AA$1100,7,FALSE)) * 20%,20%))),0)</f>
        <v>0</v>
      </c>
      <c r="BH12" s="257" t="s">
        <v>327</v>
      </c>
      <c r="BI12" s="263"/>
    </row>
    <row r="13" spans="1:61" ht="20.149999999999999" customHeight="1">
      <c r="A13" s="178">
        <v>46115</v>
      </c>
      <c r="B13" s="179">
        <f t="shared" si="2"/>
        <v>3</v>
      </c>
      <c r="C13" s="179">
        <f t="shared" si="3"/>
        <v>4</v>
      </c>
      <c r="D13" s="179">
        <f t="shared" si="4"/>
        <v>2026</v>
      </c>
      <c r="E13" s="178">
        <v>46115</v>
      </c>
      <c r="F13" s="26" t="s">
        <v>1018</v>
      </c>
      <c r="G13" s="27" t="s">
        <v>263</v>
      </c>
      <c r="H13" s="28" t="s">
        <v>153</v>
      </c>
      <c r="I13" s="28" t="s">
        <v>273</v>
      </c>
      <c r="J13" s="28" t="s">
        <v>330</v>
      </c>
      <c r="K13" s="29"/>
      <c r="L13" s="29"/>
      <c r="M13" s="30" t="s">
        <v>55</v>
      </c>
      <c r="N13" s="30" t="s">
        <v>256</v>
      </c>
      <c r="O13" s="31" t="s">
        <v>134</v>
      </c>
      <c r="P13" s="32"/>
      <c r="Q13" s="180">
        <v>1</v>
      </c>
      <c r="R13" s="32" t="s">
        <v>332</v>
      </c>
      <c r="S13" s="33"/>
      <c r="T13" s="33"/>
      <c r="U13" s="33">
        <v>248545455</v>
      </c>
      <c r="V13" s="33"/>
      <c r="W13" s="34"/>
      <c r="X13" s="35"/>
      <c r="Y13" s="34"/>
      <c r="Z13" s="35"/>
      <c r="AA13" s="36">
        <v>0</v>
      </c>
      <c r="AB13" s="36">
        <f t="shared" si="5"/>
        <v>0</v>
      </c>
      <c r="AC13" s="37">
        <f t="shared" si="6"/>
        <v>0</v>
      </c>
      <c r="AD13" s="40">
        <f t="shared" si="11"/>
        <v>0</v>
      </c>
      <c r="AE13" s="37"/>
      <c r="AF13" s="37"/>
      <c r="AG13" s="37"/>
      <c r="AH13" s="33"/>
      <c r="AI13" s="38"/>
      <c r="AJ13" s="39"/>
      <c r="AK13" s="31" t="s">
        <v>250</v>
      </c>
      <c r="AL13" s="181">
        <f>IF(E13&gt;=DATE(2026,4,1),IF(OR($AK13="Khách hàng thông thường",$AK13="Khách hàng chuyển đổi xe xăng"),IFERROR(VLOOKUP($M13,'[1]CSBH THƯỞNG XE'!$U$3:$YY$800,3,0),0),IF($AK13="Khách hàng Khối Quân đội - Công An",IFERROR(VLOOKUP($M13,'[1]CSBH THƯỞNG XE'!$U$3:$X$600,4,0),0),IF($AK13="Khách hàng Giờ trái đất",IFERROR(VLOOKUP($M13,'[1]CSBH THƯỞNG XE'!$U$3:$Y$700,5,0),0),0))),0)</f>
        <v>8000000</v>
      </c>
      <c r="AM13" s="181"/>
      <c r="AN13" s="181"/>
      <c r="AO13" s="182">
        <f t="shared" si="12"/>
        <v>6400000</v>
      </c>
      <c r="AP13" s="182">
        <f t="shared" si="13"/>
        <v>6400000</v>
      </c>
      <c r="AQ13" s="183">
        <f t="shared" si="14"/>
        <v>6400000</v>
      </c>
      <c r="AR13" s="46">
        <f t="shared" si="7"/>
        <v>0</v>
      </c>
      <c r="AS13" s="46">
        <f t="shared" si="8"/>
        <v>0</v>
      </c>
      <c r="AT13" s="46">
        <v>4000000</v>
      </c>
      <c r="AU13" s="46">
        <v>0</v>
      </c>
      <c r="AV13" s="47"/>
      <c r="AW13" s="279"/>
      <c r="AX13" s="279"/>
      <c r="AZ13" s="280"/>
      <c r="BA13" s="281" t="s">
        <v>1981</v>
      </c>
      <c r="BB13" s="282">
        <f>VLOOKUP(H13,[1]NVKD!$C$1:$M$3296,11,0)</f>
        <v>2</v>
      </c>
      <c r="BC13" s="281" t="s">
        <v>1984</v>
      </c>
      <c r="BD13" s="283" t="str">
        <f t="shared" si="9"/>
        <v>Showroom Quang Trung</v>
      </c>
      <c r="BF13" s="284">
        <f t="shared" si="10"/>
        <v>0.2</v>
      </c>
      <c r="BG13" s="284">
        <f>IFERROR(IF(Y13=0,0, IF(Y13 / VLOOKUP(M13,'[1]CSBH THƯỞNG XE'!$U$3:$AA$1100,7,FALSE) &lt; 0.5,0,MIN((Y13 / VLOOKUP(M13,'[1]CSBH THƯỞNG XE'!$U$3:$AA$1100,7,FALSE)) * 20%,20%))),0)</f>
        <v>0</v>
      </c>
      <c r="BI13" s="263"/>
    </row>
    <row r="14" spans="1:61" ht="20.149999999999999" customHeight="1">
      <c r="A14" s="178">
        <v>46109</v>
      </c>
      <c r="B14" s="179">
        <f t="shared" si="2"/>
        <v>28</v>
      </c>
      <c r="C14" s="179">
        <f t="shared" si="3"/>
        <v>3</v>
      </c>
      <c r="D14" s="179">
        <f t="shared" si="4"/>
        <v>2026</v>
      </c>
      <c r="E14" s="178">
        <v>46118</v>
      </c>
      <c r="F14" s="26" t="s">
        <v>1019</v>
      </c>
      <c r="G14" s="27" t="s">
        <v>258</v>
      </c>
      <c r="H14" s="28" t="s">
        <v>194</v>
      </c>
      <c r="I14" s="28" t="s">
        <v>259</v>
      </c>
      <c r="J14" s="28" t="s">
        <v>1020</v>
      </c>
      <c r="K14" s="29"/>
      <c r="L14" s="29"/>
      <c r="M14" s="30" t="s">
        <v>276</v>
      </c>
      <c r="N14" s="30" t="s">
        <v>1021</v>
      </c>
      <c r="O14" s="31" t="s">
        <v>197</v>
      </c>
      <c r="P14" s="32"/>
      <c r="Q14" s="180">
        <v>1</v>
      </c>
      <c r="R14" s="32" t="s">
        <v>389</v>
      </c>
      <c r="S14" s="33"/>
      <c r="T14" s="33"/>
      <c r="U14" s="33">
        <v>668181818</v>
      </c>
      <c r="V14" s="33"/>
      <c r="W14" s="34"/>
      <c r="X14" s="35"/>
      <c r="Y14" s="34"/>
      <c r="Z14" s="35"/>
      <c r="AA14" s="36">
        <v>10000000</v>
      </c>
      <c r="AB14" s="36">
        <f t="shared" si="5"/>
        <v>10000000</v>
      </c>
      <c r="AC14" s="37">
        <f t="shared" si="6"/>
        <v>10000000</v>
      </c>
      <c r="AD14" s="40">
        <f t="shared" si="11"/>
        <v>10000000</v>
      </c>
      <c r="AE14" s="37"/>
      <c r="AF14" s="37"/>
      <c r="AG14" s="37"/>
      <c r="AH14" s="33"/>
      <c r="AI14" s="38"/>
      <c r="AJ14" s="39"/>
      <c r="AK14" s="31" t="s">
        <v>250</v>
      </c>
      <c r="AL14" s="181">
        <f>IF(E14&gt;=DATE(2026,4,1),IF(OR($AK14="Khách hàng thông thường",$AK14="Khách hàng chuyển đổi xe xăng"),IFERROR(VLOOKUP($M14,'[1]CSBH THƯỞNG XE'!$U$3:$YY$800,3,0),0),IF($AK14="Khách hàng Khối Quân đội - Công An",IFERROR(VLOOKUP($M14,'[1]CSBH THƯỞNG XE'!$U$3:$X$600,4,0),0),IF($AK14="Khách hàng Giờ trái đất",IFERROR(VLOOKUP($M14,'[1]CSBH THƯỞNG XE'!$U$3:$Y$700,5,0),0),0))),0)</f>
        <v>20000000</v>
      </c>
      <c r="AM14" s="181"/>
      <c r="AN14" s="181"/>
      <c r="AO14" s="182">
        <f t="shared" si="12"/>
        <v>6000000</v>
      </c>
      <c r="AP14" s="182">
        <f t="shared" si="13"/>
        <v>6000000</v>
      </c>
      <c r="AQ14" s="183">
        <f t="shared" si="14"/>
        <v>6000000</v>
      </c>
      <c r="AR14" s="46">
        <f t="shared" si="7"/>
        <v>0</v>
      </c>
      <c r="AS14" s="46">
        <f t="shared" si="8"/>
        <v>0</v>
      </c>
      <c r="AT14" s="46">
        <v>0</v>
      </c>
      <c r="AU14" s="46">
        <v>0</v>
      </c>
      <c r="AV14" s="47"/>
      <c r="AW14" s="279"/>
      <c r="AX14" s="279"/>
      <c r="AZ14" s="280"/>
      <c r="BA14" s="281" t="s">
        <v>1983</v>
      </c>
      <c r="BB14" s="282">
        <f>VLOOKUP(H14,[1]NVKD!$C$1:$M$3296,11,0)</f>
        <v>6</v>
      </c>
      <c r="BC14" s="281" t="s">
        <v>1982</v>
      </c>
      <c r="BD14" s="283" t="str">
        <f t="shared" si="9"/>
        <v>Showroom 50 Nguyễn Văn Tăng</v>
      </c>
      <c r="BF14" s="284">
        <f t="shared" si="10"/>
        <v>0</v>
      </c>
      <c r="BG14" s="284">
        <f>IFERROR(IF(Y14=0,0, IF(Y14 / VLOOKUP(M14,'[1]CSBH THƯỞNG XE'!$U$3:$AA$1100,7,FALSE) &lt; 0.5,0,MIN((Y14 / VLOOKUP(M14,'[1]CSBH THƯỞNG XE'!$U$3:$AA$1100,7,FALSE)) * 20%,20%))),0)</f>
        <v>0</v>
      </c>
      <c r="BI14" s="263"/>
    </row>
    <row r="15" spans="1:61" ht="20.149999999999999" customHeight="1">
      <c r="A15" s="178">
        <v>46105</v>
      </c>
      <c r="B15" s="179">
        <f t="shared" si="2"/>
        <v>24</v>
      </c>
      <c r="C15" s="179">
        <f t="shared" si="3"/>
        <v>3</v>
      </c>
      <c r="D15" s="179">
        <f t="shared" si="4"/>
        <v>2026</v>
      </c>
      <c r="E15" s="178">
        <v>46118</v>
      </c>
      <c r="F15" s="26" t="s">
        <v>1022</v>
      </c>
      <c r="G15" s="27" t="s">
        <v>258</v>
      </c>
      <c r="H15" s="28" t="s">
        <v>200</v>
      </c>
      <c r="I15" s="28" t="s">
        <v>259</v>
      </c>
      <c r="J15" s="28" t="s">
        <v>1023</v>
      </c>
      <c r="K15" s="29"/>
      <c r="L15" s="29"/>
      <c r="M15" s="30" t="s">
        <v>114</v>
      </c>
      <c r="N15" s="30" t="s">
        <v>268</v>
      </c>
      <c r="O15" s="31" t="s">
        <v>114</v>
      </c>
      <c r="P15" s="32"/>
      <c r="Q15" s="180">
        <v>1</v>
      </c>
      <c r="R15" s="32" t="s">
        <v>392</v>
      </c>
      <c r="S15" s="33"/>
      <c r="T15" s="33"/>
      <c r="U15" s="33">
        <v>617809091</v>
      </c>
      <c r="V15" s="33"/>
      <c r="W15" s="34">
        <v>9514260</v>
      </c>
      <c r="X15" s="35"/>
      <c r="Y15" s="34"/>
      <c r="Z15" s="35"/>
      <c r="AA15" s="36">
        <v>2000000</v>
      </c>
      <c r="AB15" s="36">
        <f t="shared" si="5"/>
        <v>2000000</v>
      </c>
      <c r="AC15" s="37">
        <f t="shared" si="6"/>
        <v>2000000</v>
      </c>
      <c r="AD15" s="40">
        <f t="shared" si="11"/>
        <v>2000000</v>
      </c>
      <c r="AE15" s="37"/>
      <c r="AF15" s="37"/>
      <c r="AG15" s="37"/>
      <c r="AH15" s="33"/>
      <c r="AI15" s="38"/>
      <c r="AJ15" s="39"/>
      <c r="AK15" s="31" t="s">
        <v>250</v>
      </c>
      <c r="AL15" s="181">
        <f>IF(E15&gt;=DATE(2026,4,1),IF(OR($AK15="Khách hàng thông thường",$AK15="Khách hàng chuyển đổi xe xăng"),IFERROR(VLOOKUP($M15,'[1]CSBH THƯỞNG XE'!$U$3:$YY$800,3,0),0),IF($AK15="Khách hàng Khối Quân đội - Công An",IFERROR(VLOOKUP($M15,'[1]CSBH THƯỞNG XE'!$U$3:$X$600,4,0),0),IF($AK15="Khách hàng Giờ trái đất",IFERROR(VLOOKUP($M15,'[1]CSBH THƯỞNG XE'!$U$3:$Y$700,5,0),0),0))),0)</f>
        <v>19000000</v>
      </c>
      <c r="AM15" s="181"/>
      <c r="AN15" s="181"/>
      <c r="AO15" s="182">
        <f t="shared" si="12"/>
        <v>13600000</v>
      </c>
      <c r="AP15" s="182">
        <f t="shared" si="13"/>
        <v>13600000</v>
      </c>
      <c r="AQ15" s="183">
        <f t="shared" si="14"/>
        <v>16600000</v>
      </c>
      <c r="AR15" s="46">
        <f t="shared" si="7"/>
        <v>0</v>
      </c>
      <c r="AS15" s="46">
        <f t="shared" si="8"/>
        <v>3000000</v>
      </c>
      <c r="AT15" s="46">
        <v>0</v>
      </c>
      <c r="AU15" s="46">
        <v>9514260</v>
      </c>
      <c r="AV15" s="47"/>
      <c r="AW15" s="279"/>
      <c r="AX15" s="279"/>
      <c r="AZ15" s="280"/>
      <c r="BA15" s="281" t="s">
        <v>1983</v>
      </c>
      <c r="BB15" s="282">
        <f>VLOOKUP(H15,[1]NVKD!$C$1:$M$3296,11,0)</f>
        <v>3</v>
      </c>
      <c r="BC15" s="281" t="s">
        <v>1984</v>
      </c>
      <c r="BD15" s="283" t="str">
        <f t="shared" si="9"/>
        <v>Showroom 50 Nguyễn Văn Tăng</v>
      </c>
      <c r="BF15" s="284">
        <f t="shared" si="10"/>
        <v>0.2</v>
      </c>
      <c r="BG15" s="284">
        <f>IFERROR(IF(Y15=0,0, IF(Y15 / VLOOKUP(M15,'[1]CSBH THƯỞNG XE'!$U$3:$AA$1100,7,FALSE) &lt; 0.5,0,MIN((Y15 / VLOOKUP(M15,'[1]CSBH THƯỞNG XE'!$U$3:$AA$1100,7,FALSE)) * 20%,20%))),0)</f>
        <v>0</v>
      </c>
      <c r="BI15" s="263"/>
    </row>
    <row r="16" spans="1:61" ht="20.149999999999999" customHeight="1">
      <c r="A16" s="178">
        <v>46109</v>
      </c>
      <c r="B16" s="179">
        <f t="shared" si="2"/>
        <v>28</v>
      </c>
      <c r="C16" s="179">
        <f t="shared" si="3"/>
        <v>3</v>
      </c>
      <c r="D16" s="179">
        <f t="shared" si="4"/>
        <v>2026</v>
      </c>
      <c r="E16" s="178">
        <v>46118</v>
      </c>
      <c r="F16" s="26" t="s">
        <v>1024</v>
      </c>
      <c r="G16" s="27" t="s">
        <v>251</v>
      </c>
      <c r="H16" s="28" t="s">
        <v>154</v>
      </c>
      <c r="I16" s="28" t="s">
        <v>265</v>
      </c>
      <c r="J16" s="28" t="s">
        <v>333</v>
      </c>
      <c r="K16" s="29"/>
      <c r="L16" s="29"/>
      <c r="M16" s="30" t="s">
        <v>110</v>
      </c>
      <c r="N16" s="30" t="s">
        <v>256</v>
      </c>
      <c r="O16" s="31" t="s">
        <v>105</v>
      </c>
      <c r="P16" s="32"/>
      <c r="Q16" s="180">
        <v>1</v>
      </c>
      <c r="R16" s="32" t="s">
        <v>335</v>
      </c>
      <c r="S16" s="33"/>
      <c r="T16" s="33"/>
      <c r="U16" s="33">
        <v>488181818</v>
      </c>
      <c r="V16" s="33"/>
      <c r="W16" s="34"/>
      <c r="X16" s="35"/>
      <c r="Y16" s="34"/>
      <c r="Z16" s="35"/>
      <c r="AA16" s="36">
        <v>0</v>
      </c>
      <c r="AB16" s="36">
        <f t="shared" si="5"/>
        <v>0</v>
      </c>
      <c r="AC16" s="37">
        <f t="shared" si="6"/>
        <v>0</v>
      </c>
      <c r="AD16" s="40">
        <f t="shared" si="11"/>
        <v>0</v>
      </c>
      <c r="AE16" s="37"/>
      <c r="AF16" s="37"/>
      <c r="AG16" s="37"/>
      <c r="AH16" s="33"/>
      <c r="AI16" s="38"/>
      <c r="AJ16" s="39"/>
      <c r="AK16" s="31" t="s">
        <v>250</v>
      </c>
      <c r="AL16" s="181">
        <f>IF(E16&gt;=DATE(2026,4,1),IF(OR($AK16="Khách hàng thông thường",$AK16="Khách hàng chuyển đổi xe xăng"),IFERROR(VLOOKUP($M16,'[1]CSBH THƯỞNG XE'!$U$3:$YY$800,3,0),0),IF($AK16="Khách hàng Khối Quân đội - Công An",IFERROR(VLOOKUP($M16,'[1]CSBH THƯỞNG XE'!$U$3:$X$600,4,0),0),IF($AK16="Khách hàng Giờ trái đất",IFERROR(VLOOKUP($M16,'[1]CSBH THƯỞNG XE'!$U$3:$Y$700,5,0),0),0))),0)</f>
        <v>16000000</v>
      </c>
      <c r="AM16" s="181"/>
      <c r="AN16" s="181"/>
      <c r="AO16" s="182">
        <f t="shared" si="12"/>
        <v>9600000</v>
      </c>
      <c r="AP16" s="182">
        <f t="shared" si="13"/>
        <v>9600000</v>
      </c>
      <c r="AQ16" s="183">
        <f t="shared" si="14"/>
        <v>9600000</v>
      </c>
      <c r="AR16" s="46">
        <f t="shared" si="7"/>
        <v>0</v>
      </c>
      <c r="AS16" s="46">
        <f t="shared" si="8"/>
        <v>0</v>
      </c>
      <c r="AT16" s="46">
        <v>0</v>
      </c>
      <c r="AU16" s="46">
        <v>0</v>
      </c>
      <c r="AV16" s="47"/>
      <c r="AW16" s="279"/>
      <c r="AX16" s="279"/>
      <c r="AZ16" s="280"/>
      <c r="BA16" s="281" t="s">
        <v>1981</v>
      </c>
      <c r="BB16" s="282">
        <f>VLOOKUP(H16,[1]NVKD!$C$1:$M$3296,11,0)</f>
        <v>2</v>
      </c>
      <c r="BC16" s="281" t="s">
        <v>1982</v>
      </c>
      <c r="BD16" s="283" t="str">
        <f t="shared" si="9"/>
        <v>Showroom Tân An</v>
      </c>
      <c r="BF16" s="284">
        <f t="shared" si="10"/>
        <v>0</v>
      </c>
      <c r="BG16" s="284">
        <f>IFERROR(IF(Y16=0,0, IF(Y16 / VLOOKUP(M16,'[1]CSBH THƯỞNG XE'!$U$3:$AA$1100,7,FALSE) &lt; 0.5,0,MIN((Y16 / VLOOKUP(M16,'[1]CSBH THƯỞNG XE'!$U$3:$AA$1100,7,FALSE)) * 20%,20%))),0)</f>
        <v>0</v>
      </c>
      <c r="BI16" s="263"/>
    </row>
    <row r="17" spans="1:61" ht="20.149999999999999" customHeight="1">
      <c r="A17" s="178">
        <v>46110</v>
      </c>
      <c r="B17" s="179">
        <f t="shared" si="2"/>
        <v>29</v>
      </c>
      <c r="C17" s="179">
        <f t="shared" si="3"/>
        <v>3</v>
      </c>
      <c r="D17" s="179">
        <f t="shared" si="4"/>
        <v>2026</v>
      </c>
      <c r="E17" s="178">
        <v>46118</v>
      </c>
      <c r="F17" s="26" t="s">
        <v>1025</v>
      </c>
      <c r="G17" s="27" t="s">
        <v>254</v>
      </c>
      <c r="H17" s="28" t="s">
        <v>340</v>
      </c>
      <c r="I17" s="28"/>
      <c r="J17" s="28" t="s">
        <v>341</v>
      </c>
      <c r="K17" s="29"/>
      <c r="L17" s="29"/>
      <c r="M17" s="30" t="s">
        <v>276</v>
      </c>
      <c r="N17" s="30" t="s">
        <v>255</v>
      </c>
      <c r="O17" s="31" t="s">
        <v>160</v>
      </c>
      <c r="P17" s="32"/>
      <c r="Q17" s="180">
        <v>1</v>
      </c>
      <c r="R17" s="32" t="s">
        <v>343</v>
      </c>
      <c r="S17" s="33"/>
      <c r="T17" s="33"/>
      <c r="U17" s="33">
        <v>622179091</v>
      </c>
      <c r="V17" s="33"/>
      <c r="W17" s="34">
        <v>9582000</v>
      </c>
      <c r="X17" s="35"/>
      <c r="Y17" s="34"/>
      <c r="Z17" s="35"/>
      <c r="AA17" s="36">
        <v>9000000</v>
      </c>
      <c r="AB17" s="36">
        <f t="shared" si="5"/>
        <v>9000000</v>
      </c>
      <c r="AC17" s="37">
        <f t="shared" si="6"/>
        <v>9000000</v>
      </c>
      <c r="AD17" s="40">
        <f t="shared" si="11"/>
        <v>9000000</v>
      </c>
      <c r="AE17" s="37"/>
      <c r="AF17" s="37"/>
      <c r="AG17" s="37"/>
      <c r="AH17" s="33"/>
      <c r="AI17" s="38"/>
      <c r="AJ17" s="39"/>
      <c r="AK17" s="31" t="s">
        <v>250</v>
      </c>
      <c r="AL17" s="181">
        <f>IF(E17&gt;=DATE(2026,4,1),IF(OR($AK17="Khách hàng thông thường",$AK17="Khách hàng chuyển đổi xe xăng"),IFERROR(VLOOKUP($M17,'[1]CSBH THƯỞNG XE'!$U$3:$YY$800,3,0),0),IF($AK17="Khách hàng Khối Quân đội - Công An",IFERROR(VLOOKUP($M17,'[1]CSBH THƯỞNG XE'!$U$3:$X$600,4,0),0),IF($AK17="Khách hàng Giờ trái đất",IFERROR(VLOOKUP($M17,'[1]CSBH THƯỞNG XE'!$U$3:$Y$700,5,0),0),0))),0)</f>
        <v>20000000</v>
      </c>
      <c r="AM17" s="181"/>
      <c r="AN17" s="181"/>
      <c r="AO17" s="182">
        <f t="shared" si="12"/>
        <v>8800000</v>
      </c>
      <c r="AP17" s="182">
        <f t="shared" si="13"/>
        <v>8800000</v>
      </c>
      <c r="AQ17" s="183">
        <f t="shared" si="14"/>
        <v>8800000</v>
      </c>
      <c r="AR17" s="46">
        <f t="shared" si="7"/>
        <v>0</v>
      </c>
      <c r="AS17" s="46">
        <f t="shared" si="8"/>
        <v>0</v>
      </c>
      <c r="AT17" s="46">
        <v>0</v>
      </c>
      <c r="AU17" s="46">
        <v>0</v>
      </c>
      <c r="AV17" s="47"/>
      <c r="AW17" s="279"/>
      <c r="AX17" s="279"/>
      <c r="AZ17" s="280"/>
      <c r="BA17" s="281" t="s">
        <v>1983</v>
      </c>
      <c r="BB17" s="282">
        <f>VLOOKUP(H17,[1]NVKD!$C$1:$M$3296,11,0)</f>
        <v>2</v>
      </c>
      <c r="BC17" s="281" t="s">
        <v>1982</v>
      </c>
      <c r="BD17" s="283" t="str">
        <f t="shared" si="9"/>
        <v>Showroom Sala</v>
      </c>
      <c r="BF17" s="284">
        <f t="shared" si="10"/>
        <v>0.2</v>
      </c>
      <c r="BG17" s="284">
        <f>IFERROR(IF(Y17=0,0, IF(Y17 / VLOOKUP(M17,'[1]CSBH THƯỞNG XE'!$U$3:$AA$1100,7,FALSE) &lt; 0.5,0,MIN((Y17 / VLOOKUP(M17,'[1]CSBH THƯỞNG XE'!$U$3:$AA$1100,7,FALSE)) * 20%,20%))),0)</f>
        <v>0</v>
      </c>
      <c r="BI17" s="263"/>
    </row>
    <row r="18" spans="1:61" ht="20.149999999999999" customHeight="1">
      <c r="A18" s="178">
        <v>46111</v>
      </c>
      <c r="B18" s="179">
        <f t="shared" si="2"/>
        <v>30</v>
      </c>
      <c r="C18" s="179">
        <f t="shared" si="3"/>
        <v>3</v>
      </c>
      <c r="D18" s="179">
        <f t="shared" si="4"/>
        <v>2026</v>
      </c>
      <c r="E18" s="178">
        <v>46118</v>
      </c>
      <c r="F18" s="26" t="s">
        <v>1026</v>
      </c>
      <c r="G18" s="27" t="s">
        <v>258</v>
      </c>
      <c r="H18" s="28" t="s">
        <v>139</v>
      </c>
      <c r="I18" s="28" t="s">
        <v>259</v>
      </c>
      <c r="J18" s="28" t="s">
        <v>1027</v>
      </c>
      <c r="K18" s="29"/>
      <c r="L18" s="29"/>
      <c r="M18" s="30" t="s">
        <v>55</v>
      </c>
      <c r="N18" s="30" t="s">
        <v>287</v>
      </c>
      <c r="O18" s="31" t="s">
        <v>202</v>
      </c>
      <c r="P18" s="32"/>
      <c r="Q18" s="180">
        <v>1</v>
      </c>
      <c r="R18" s="32" t="s">
        <v>396</v>
      </c>
      <c r="S18" s="33"/>
      <c r="T18" s="33"/>
      <c r="U18" s="33">
        <v>244909091</v>
      </c>
      <c r="V18" s="33"/>
      <c r="W18" s="34"/>
      <c r="X18" s="35"/>
      <c r="Y18" s="34"/>
      <c r="Z18" s="35"/>
      <c r="AA18" s="36">
        <v>4000000</v>
      </c>
      <c r="AB18" s="36">
        <f t="shared" si="5"/>
        <v>4000000</v>
      </c>
      <c r="AC18" s="37">
        <f t="shared" si="6"/>
        <v>4000000</v>
      </c>
      <c r="AD18" s="40">
        <f t="shared" si="11"/>
        <v>4000000</v>
      </c>
      <c r="AE18" s="37"/>
      <c r="AF18" s="37"/>
      <c r="AG18" s="37"/>
      <c r="AH18" s="33"/>
      <c r="AI18" s="38"/>
      <c r="AJ18" s="39"/>
      <c r="AK18" s="31" t="s">
        <v>250</v>
      </c>
      <c r="AL18" s="181">
        <f>IF(E18&gt;=DATE(2026,4,1),IF(OR($AK18="Khách hàng thông thường",$AK18="Khách hàng chuyển đổi xe xăng"),IFERROR(VLOOKUP($M18,'[1]CSBH THƯỞNG XE'!$U$3:$YY$800,3,0),0),IF($AK18="Khách hàng Khối Quân đội - Công An",IFERROR(VLOOKUP($M18,'[1]CSBH THƯỞNG XE'!$U$3:$X$600,4,0),0),IF($AK18="Khách hàng Giờ trái đất",IFERROR(VLOOKUP($M18,'[1]CSBH THƯỞNG XE'!$U$3:$Y$700,5,0),0),0))),0)</f>
        <v>8000000</v>
      </c>
      <c r="AM18" s="181"/>
      <c r="AN18" s="181"/>
      <c r="AO18" s="182">
        <f t="shared" si="12"/>
        <v>3200000</v>
      </c>
      <c r="AP18" s="182">
        <f t="shared" si="13"/>
        <v>3200000</v>
      </c>
      <c r="AQ18" s="183">
        <f t="shared" si="14"/>
        <v>3200000</v>
      </c>
      <c r="AR18" s="46">
        <f t="shared" si="7"/>
        <v>0</v>
      </c>
      <c r="AS18" s="46">
        <f t="shared" si="8"/>
        <v>0</v>
      </c>
      <c r="AT18" s="46">
        <v>0</v>
      </c>
      <c r="AU18" s="46">
        <v>0</v>
      </c>
      <c r="AV18" s="47"/>
      <c r="AW18" s="279"/>
      <c r="AX18" s="279"/>
      <c r="AZ18" s="280"/>
      <c r="BA18" s="281" t="s">
        <v>1981</v>
      </c>
      <c r="BB18" s="282">
        <f>VLOOKUP(H18,[1]NVKD!$C$1:$M$3296,11,0)</f>
        <v>8</v>
      </c>
      <c r="BC18" s="281" t="s">
        <v>1984</v>
      </c>
      <c r="BD18" s="283" t="str">
        <f t="shared" si="9"/>
        <v>Showroom 50 Nguyễn Văn Tăng</v>
      </c>
      <c r="BF18" s="284">
        <f t="shared" si="10"/>
        <v>0.2</v>
      </c>
      <c r="BG18" s="284">
        <f>IFERROR(IF(Y18=0,0, IF(Y18 / VLOOKUP(M18,'[1]CSBH THƯỞNG XE'!$U$3:$AA$1100,7,FALSE) &lt; 0.5,0,MIN((Y18 / VLOOKUP(M18,'[1]CSBH THƯỞNG XE'!$U$3:$AA$1100,7,FALSE)) * 20%,20%))),0)</f>
        <v>0</v>
      </c>
      <c r="BI18" s="263"/>
    </row>
    <row r="19" spans="1:61" ht="20.149999999999999" customHeight="1">
      <c r="A19" s="178">
        <v>46108</v>
      </c>
      <c r="B19" s="179">
        <f t="shared" si="2"/>
        <v>27</v>
      </c>
      <c r="C19" s="179">
        <f t="shared" si="3"/>
        <v>3</v>
      </c>
      <c r="D19" s="179">
        <f t="shared" si="4"/>
        <v>2026</v>
      </c>
      <c r="E19" s="178">
        <v>46118</v>
      </c>
      <c r="F19" s="26" t="s">
        <v>1028</v>
      </c>
      <c r="G19" s="27" t="s">
        <v>258</v>
      </c>
      <c r="H19" s="28" t="s">
        <v>186</v>
      </c>
      <c r="I19" s="28" t="s">
        <v>259</v>
      </c>
      <c r="J19" s="28" t="s">
        <v>1029</v>
      </c>
      <c r="K19" s="29"/>
      <c r="L19" s="29"/>
      <c r="M19" s="30" t="s">
        <v>56</v>
      </c>
      <c r="N19" s="30" t="s">
        <v>260</v>
      </c>
      <c r="O19" s="31" t="s">
        <v>140</v>
      </c>
      <c r="P19" s="32"/>
      <c r="Q19" s="180">
        <v>1</v>
      </c>
      <c r="R19" s="32" t="s">
        <v>399</v>
      </c>
      <c r="S19" s="33"/>
      <c r="T19" s="33"/>
      <c r="U19" s="33">
        <v>259681818</v>
      </c>
      <c r="V19" s="33"/>
      <c r="W19" s="34"/>
      <c r="X19" s="35"/>
      <c r="Y19" s="34"/>
      <c r="Z19" s="35"/>
      <c r="AA19" s="36">
        <v>1000000</v>
      </c>
      <c r="AB19" s="36">
        <f t="shared" si="5"/>
        <v>1000000</v>
      </c>
      <c r="AC19" s="37">
        <f t="shared" si="6"/>
        <v>1000000</v>
      </c>
      <c r="AD19" s="40">
        <f t="shared" si="11"/>
        <v>1000000</v>
      </c>
      <c r="AE19" s="37"/>
      <c r="AF19" s="37"/>
      <c r="AG19" s="37"/>
      <c r="AH19" s="33"/>
      <c r="AI19" s="38"/>
      <c r="AJ19" s="39"/>
      <c r="AK19" s="31" t="s">
        <v>250</v>
      </c>
      <c r="AL19" s="181">
        <f>IF(E19&gt;=DATE(2026,4,1),IF(OR($AK19="Khách hàng thông thường",$AK19="Khách hàng chuyển đổi xe xăng"),IFERROR(VLOOKUP($M19,'[1]CSBH THƯỞNG XE'!$U$3:$YY$800,3,0),0),IF($AK19="Khách hàng Khối Quân đội - Công An",IFERROR(VLOOKUP($M19,'[1]CSBH THƯỞNG XE'!$U$3:$X$600,4,0),0),IF($AK19="Khách hàng Giờ trái đất",IFERROR(VLOOKUP($M19,'[1]CSBH THƯỞNG XE'!$U$3:$Y$700,5,0),0),0))),0)</f>
        <v>8500000</v>
      </c>
      <c r="AM19" s="181"/>
      <c r="AN19" s="181"/>
      <c r="AO19" s="182">
        <f t="shared" si="12"/>
        <v>4500000</v>
      </c>
      <c r="AP19" s="182">
        <f t="shared" si="13"/>
        <v>4500000</v>
      </c>
      <c r="AQ19" s="183">
        <f t="shared" si="14"/>
        <v>4500000</v>
      </c>
      <c r="AR19" s="46">
        <f t="shared" si="7"/>
        <v>0</v>
      </c>
      <c r="AS19" s="46">
        <f t="shared" si="8"/>
        <v>0</v>
      </c>
      <c r="AT19" s="46">
        <v>0</v>
      </c>
      <c r="AU19" s="46">
        <v>0</v>
      </c>
      <c r="AV19" s="47"/>
      <c r="AW19" s="279"/>
      <c r="AX19" s="279"/>
      <c r="AZ19" s="280"/>
      <c r="BA19" s="281" t="s">
        <v>1981</v>
      </c>
      <c r="BB19" s="282">
        <f>VLOOKUP(H19,[1]NVKD!$C$1:$M$3296,11,0)</f>
        <v>3</v>
      </c>
      <c r="BC19" s="281" t="s">
        <v>1982</v>
      </c>
      <c r="BD19" s="283" t="str">
        <f t="shared" si="9"/>
        <v>Showroom 50 Nguyễn Văn Tăng</v>
      </c>
      <c r="BF19" s="284">
        <f t="shared" si="10"/>
        <v>0</v>
      </c>
      <c r="BG19" s="284">
        <f>IFERROR(IF(Y19=0,0, IF(Y19 / VLOOKUP(M19,'[1]CSBH THƯỞNG XE'!$U$3:$AA$1100,7,FALSE) &lt; 0.5,0,MIN((Y19 / VLOOKUP(M19,'[1]CSBH THƯỞNG XE'!$U$3:$AA$1100,7,FALSE)) * 20%,20%))),0)</f>
        <v>0</v>
      </c>
      <c r="BI19" s="263"/>
    </row>
    <row r="20" spans="1:61" ht="20.149999999999999" customHeight="1">
      <c r="A20" s="178">
        <v>46111</v>
      </c>
      <c r="B20" s="179">
        <f t="shared" si="2"/>
        <v>30</v>
      </c>
      <c r="C20" s="179">
        <f t="shared" si="3"/>
        <v>3</v>
      </c>
      <c r="D20" s="179">
        <f t="shared" si="4"/>
        <v>2026</v>
      </c>
      <c r="E20" s="178">
        <v>46119</v>
      </c>
      <c r="F20" s="26" t="s">
        <v>1030</v>
      </c>
      <c r="G20" s="27" t="s">
        <v>251</v>
      </c>
      <c r="H20" s="28" t="s">
        <v>180</v>
      </c>
      <c r="I20" s="28" t="s">
        <v>252</v>
      </c>
      <c r="J20" s="28" t="s">
        <v>337</v>
      </c>
      <c r="K20" s="29"/>
      <c r="L20" s="29"/>
      <c r="M20" s="30" t="s">
        <v>276</v>
      </c>
      <c r="N20" s="30" t="s">
        <v>255</v>
      </c>
      <c r="O20" s="31" t="s">
        <v>160</v>
      </c>
      <c r="P20" s="32"/>
      <c r="Q20" s="180">
        <v>1</v>
      </c>
      <c r="R20" s="32" t="s">
        <v>339</v>
      </c>
      <c r="S20" s="33"/>
      <c r="T20" s="33"/>
      <c r="U20" s="33">
        <v>636636364</v>
      </c>
      <c r="V20" s="33"/>
      <c r="W20" s="34"/>
      <c r="X20" s="35"/>
      <c r="Y20" s="34"/>
      <c r="Z20" s="35"/>
      <c r="AA20" s="36">
        <v>0</v>
      </c>
      <c r="AB20" s="36">
        <f t="shared" si="5"/>
        <v>0</v>
      </c>
      <c r="AC20" s="37">
        <f t="shared" si="6"/>
        <v>0</v>
      </c>
      <c r="AD20" s="40">
        <f t="shared" si="11"/>
        <v>0</v>
      </c>
      <c r="AE20" s="37"/>
      <c r="AF20" s="37"/>
      <c r="AG20" s="37"/>
      <c r="AH20" s="33"/>
      <c r="AI20" s="38"/>
      <c r="AJ20" s="39"/>
      <c r="AK20" s="31" t="s">
        <v>250</v>
      </c>
      <c r="AL20" s="181">
        <f>IF(E20&gt;=DATE(2026,4,1),IF(OR($AK20="Khách hàng thông thường",$AK20="Khách hàng chuyển đổi xe xăng"),IFERROR(VLOOKUP($M20,'[1]CSBH THƯỞNG XE'!$U$3:$YY$800,3,0),0),IF($AK20="Khách hàng Khối Quân đội - Công An",IFERROR(VLOOKUP($M20,'[1]CSBH THƯỞNG XE'!$U$3:$X$600,4,0),0),IF($AK20="Khách hàng Giờ trái đất",IFERROR(VLOOKUP($M20,'[1]CSBH THƯỞNG XE'!$U$3:$Y$700,5,0),0),0))),0)</f>
        <v>20000000</v>
      </c>
      <c r="AM20" s="181"/>
      <c r="AN20" s="181"/>
      <c r="AO20" s="182">
        <f t="shared" si="12"/>
        <v>16000000</v>
      </c>
      <c r="AP20" s="182">
        <f t="shared" si="13"/>
        <v>16000000</v>
      </c>
      <c r="AQ20" s="183">
        <f t="shared" si="14"/>
        <v>16000000</v>
      </c>
      <c r="AR20" s="46">
        <f t="shared" si="7"/>
        <v>0</v>
      </c>
      <c r="AS20" s="46">
        <f t="shared" si="8"/>
        <v>0</v>
      </c>
      <c r="AT20" s="46">
        <v>0</v>
      </c>
      <c r="AU20" s="46">
        <v>0</v>
      </c>
      <c r="AV20" s="47"/>
      <c r="AW20" s="279"/>
      <c r="AX20" s="279"/>
      <c r="AZ20" s="280"/>
      <c r="BA20" s="281" t="s">
        <v>1981</v>
      </c>
      <c r="BB20" s="282">
        <f>VLOOKUP(H20,[1]NVKD!$C$1:$M$3296,11,0)</f>
        <v>3</v>
      </c>
      <c r="BC20" s="281" t="s">
        <v>1984</v>
      </c>
      <c r="BD20" s="283" t="str">
        <f t="shared" si="9"/>
        <v>Showroom Tân An</v>
      </c>
      <c r="BF20" s="284">
        <f t="shared" si="10"/>
        <v>0.2</v>
      </c>
      <c r="BG20" s="284">
        <f>IFERROR(IF(Y20=0,0, IF(Y20 / VLOOKUP(M20,'[1]CSBH THƯỞNG XE'!$U$3:$AA$1100,7,FALSE) &lt; 0.5,0,MIN((Y20 / VLOOKUP(M20,'[1]CSBH THƯỞNG XE'!$U$3:$AA$1100,7,FALSE)) * 20%,20%))),0)</f>
        <v>0</v>
      </c>
      <c r="BI20" s="263"/>
    </row>
    <row r="21" spans="1:61" ht="20.149999999999999" customHeight="1">
      <c r="A21" s="178">
        <v>46103</v>
      </c>
      <c r="B21" s="179">
        <f t="shared" si="2"/>
        <v>22</v>
      </c>
      <c r="C21" s="179">
        <f t="shared" si="3"/>
        <v>3</v>
      </c>
      <c r="D21" s="179">
        <f t="shared" si="4"/>
        <v>2026</v>
      </c>
      <c r="E21" s="178">
        <v>46119</v>
      </c>
      <c r="F21" s="26" t="s">
        <v>1031</v>
      </c>
      <c r="G21" s="27" t="s">
        <v>254</v>
      </c>
      <c r="H21" s="28" t="s">
        <v>109</v>
      </c>
      <c r="I21" s="28"/>
      <c r="J21" s="28" t="s">
        <v>30</v>
      </c>
      <c r="K21" s="29"/>
      <c r="L21" s="29"/>
      <c r="M21" s="30" t="s">
        <v>114</v>
      </c>
      <c r="N21" s="30" t="s">
        <v>274</v>
      </c>
      <c r="O21" s="31" t="s">
        <v>148</v>
      </c>
      <c r="P21" s="32"/>
      <c r="Q21" s="180">
        <v>1</v>
      </c>
      <c r="R21" s="32" t="s">
        <v>178</v>
      </c>
      <c r="S21" s="33"/>
      <c r="T21" s="33"/>
      <c r="U21" s="33">
        <v>630963636</v>
      </c>
      <c r="V21" s="33"/>
      <c r="W21" s="34"/>
      <c r="X21" s="35"/>
      <c r="Y21" s="34"/>
      <c r="Z21" s="35"/>
      <c r="AA21" s="36">
        <v>10000000</v>
      </c>
      <c r="AB21" s="36">
        <f t="shared" si="5"/>
        <v>10000000</v>
      </c>
      <c r="AC21" s="37">
        <f t="shared" si="6"/>
        <v>10000000</v>
      </c>
      <c r="AD21" s="40">
        <f t="shared" si="11"/>
        <v>10000000</v>
      </c>
      <c r="AE21" s="37"/>
      <c r="AF21" s="37"/>
      <c r="AG21" s="37"/>
      <c r="AH21" s="33"/>
      <c r="AI21" s="38"/>
      <c r="AJ21" s="39"/>
      <c r="AK21" s="31" t="s">
        <v>250</v>
      </c>
      <c r="AL21" s="181">
        <f>IF(E21&gt;=DATE(2026,4,1),IF(OR($AK21="Khách hàng thông thường",$AK21="Khách hàng chuyển đổi xe xăng"),IFERROR(VLOOKUP($M21,'[1]CSBH THƯỞNG XE'!$U$3:$YY$800,3,0),0),IF($AK21="Khách hàng Khối Quân đội - Công An",IFERROR(VLOOKUP($M21,'[1]CSBH THƯỞNG XE'!$U$3:$X$600,4,0),0),IF($AK21="Khách hàng Giờ trái đất",IFERROR(VLOOKUP($M21,'[1]CSBH THƯỞNG XE'!$U$3:$Y$700,5,0),0),0))),0)</f>
        <v>19000000</v>
      </c>
      <c r="AM21" s="181"/>
      <c r="AN21" s="181"/>
      <c r="AO21" s="182">
        <f t="shared" si="12"/>
        <v>5400000</v>
      </c>
      <c r="AP21" s="182">
        <f t="shared" si="13"/>
        <v>5400000</v>
      </c>
      <c r="AQ21" s="183">
        <f t="shared" si="14"/>
        <v>8400000</v>
      </c>
      <c r="AR21" s="46">
        <f t="shared" si="7"/>
        <v>0</v>
      </c>
      <c r="AS21" s="46">
        <f t="shared" si="8"/>
        <v>3000000</v>
      </c>
      <c r="AT21" s="46">
        <v>5000000</v>
      </c>
      <c r="AU21" s="46">
        <v>0</v>
      </c>
      <c r="AV21" s="47"/>
      <c r="AW21" s="279"/>
      <c r="AX21" s="279"/>
      <c r="AZ21" s="280"/>
      <c r="BA21" s="281" t="s">
        <v>1983</v>
      </c>
      <c r="BB21" s="282">
        <f>VLOOKUP(H21,[1]NVKD!$C$1:$M$3296,11,0)</f>
        <v>1</v>
      </c>
      <c r="BC21" s="281" t="s">
        <v>1982</v>
      </c>
      <c r="BD21" s="283" t="str">
        <f t="shared" si="9"/>
        <v>Showroom Sala</v>
      </c>
      <c r="BF21" s="284">
        <f t="shared" si="10"/>
        <v>0</v>
      </c>
      <c r="BG21" s="284">
        <f>IFERROR(IF(Y21=0,0, IF(Y21 / VLOOKUP(M21,'[1]CSBH THƯỞNG XE'!$U$3:$AA$1100,7,FALSE) &lt; 0.5,0,MIN((Y21 / VLOOKUP(M21,'[1]CSBH THƯỞNG XE'!$U$3:$AA$1100,7,FALSE)) * 20%,20%))),0)</f>
        <v>0</v>
      </c>
      <c r="BI21" s="263"/>
    </row>
    <row r="22" spans="1:61" ht="20.149999999999999" customHeight="1">
      <c r="A22" s="178">
        <v>46099</v>
      </c>
      <c r="B22" s="179">
        <f t="shared" si="2"/>
        <v>18</v>
      </c>
      <c r="C22" s="179">
        <f t="shared" si="3"/>
        <v>3</v>
      </c>
      <c r="D22" s="179">
        <f t="shared" si="4"/>
        <v>2026</v>
      </c>
      <c r="E22" s="178">
        <v>46119</v>
      </c>
      <c r="F22" s="26" t="s">
        <v>1032</v>
      </c>
      <c r="G22" s="27" t="s">
        <v>258</v>
      </c>
      <c r="H22" s="28" t="s">
        <v>139</v>
      </c>
      <c r="I22" s="28" t="s">
        <v>259</v>
      </c>
      <c r="J22" s="28" t="s">
        <v>1033</v>
      </c>
      <c r="K22" s="29"/>
      <c r="L22" s="29"/>
      <c r="M22" s="30" t="s">
        <v>1034</v>
      </c>
      <c r="N22" s="30" t="s">
        <v>281</v>
      </c>
      <c r="O22" s="31" t="s">
        <v>202</v>
      </c>
      <c r="P22" s="32"/>
      <c r="Q22" s="180">
        <v>1</v>
      </c>
      <c r="R22" s="32" t="s">
        <v>403</v>
      </c>
      <c r="S22" s="33"/>
      <c r="T22" s="33"/>
      <c r="U22" s="33">
        <v>679400000</v>
      </c>
      <c r="V22" s="33"/>
      <c r="W22" s="34">
        <v>8938700</v>
      </c>
      <c r="X22" s="35"/>
      <c r="Y22" s="34"/>
      <c r="Z22" s="35"/>
      <c r="AA22" s="36">
        <v>15000000</v>
      </c>
      <c r="AB22" s="36">
        <f t="shared" si="5"/>
        <v>15000000</v>
      </c>
      <c r="AC22" s="37">
        <f t="shared" si="6"/>
        <v>15000000</v>
      </c>
      <c r="AD22" s="40">
        <f t="shared" si="11"/>
        <v>15000000</v>
      </c>
      <c r="AE22" s="37"/>
      <c r="AF22" s="37"/>
      <c r="AG22" s="37"/>
      <c r="AH22" s="33"/>
      <c r="AI22" s="38"/>
      <c r="AJ22" s="39"/>
      <c r="AK22" s="31" t="s">
        <v>250</v>
      </c>
      <c r="AL22" s="181">
        <f>IF(E22&gt;=DATE(2026,4,1),IF(OR($AK22="Khách hàng thông thường",$AK22="Khách hàng chuyển đổi xe xăng"),IFERROR(VLOOKUP($M22,'[1]CSBH THƯỞNG XE'!$U$3:$YY$800,3,0),0),IF($AK22="Khách hàng Khối Quân đội - Công An",IFERROR(VLOOKUP($M22,'[1]CSBH THƯỞNG XE'!$U$3:$X$600,4,0),0),IF($AK22="Khách hàng Giờ trái đất",IFERROR(VLOOKUP($M22,'[1]CSBH THƯỞNG XE'!$U$3:$Y$700,5,0),0),0))),0)</f>
        <v>28000000</v>
      </c>
      <c r="AM22" s="181"/>
      <c r="AN22" s="181"/>
      <c r="AO22" s="182">
        <f t="shared" si="12"/>
        <v>10400000</v>
      </c>
      <c r="AP22" s="182">
        <f t="shared" si="13"/>
        <v>10400000</v>
      </c>
      <c r="AQ22" s="183">
        <f t="shared" si="14"/>
        <v>10400000</v>
      </c>
      <c r="AR22" s="46">
        <f t="shared" si="7"/>
        <v>0</v>
      </c>
      <c r="AS22" s="46">
        <f t="shared" si="8"/>
        <v>0</v>
      </c>
      <c r="AT22" s="46">
        <v>0</v>
      </c>
      <c r="AU22" s="46">
        <v>0</v>
      </c>
      <c r="AV22" s="47"/>
      <c r="AW22" s="279"/>
      <c r="AX22" s="279"/>
      <c r="AZ22" s="280"/>
      <c r="BA22" s="281" t="s">
        <v>1981</v>
      </c>
      <c r="BB22" s="282">
        <f>VLOOKUP(H22,[1]NVKD!$C$1:$M$3296,11,0)</f>
        <v>8</v>
      </c>
      <c r="BC22" s="281" t="s">
        <v>1982</v>
      </c>
      <c r="BD22" s="283" t="str">
        <f t="shared" si="9"/>
        <v>Showroom 50 Nguyễn Văn Tăng</v>
      </c>
      <c r="BF22" s="284">
        <f t="shared" si="10"/>
        <v>0.2</v>
      </c>
      <c r="BG22" s="284">
        <f>IFERROR(IF(Y22=0,0, IF(Y22 / VLOOKUP(M22,'[1]CSBH THƯỞNG XE'!$U$3:$AA$1100,7,FALSE) &lt; 0.5,0,MIN((Y22 / VLOOKUP(M22,'[1]CSBH THƯỞNG XE'!$U$3:$AA$1100,7,FALSE)) * 20%,20%))),0)</f>
        <v>0</v>
      </c>
      <c r="BI22" s="263"/>
    </row>
    <row r="23" spans="1:61" ht="20.149999999999999" customHeight="1">
      <c r="A23" s="178">
        <v>46112</v>
      </c>
      <c r="B23" s="179">
        <f t="shared" si="2"/>
        <v>31</v>
      </c>
      <c r="C23" s="179">
        <f t="shared" si="3"/>
        <v>3</v>
      </c>
      <c r="D23" s="179">
        <f t="shared" si="4"/>
        <v>2026</v>
      </c>
      <c r="E23" s="178">
        <v>46119</v>
      </c>
      <c r="F23" s="26" t="s">
        <v>1035</v>
      </c>
      <c r="G23" s="27" t="s">
        <v>246</v>
      </c>
      <c r="H23" s="28" t="s">
        <v>132</v>
      </c>
      <c r="I23" s="28" t="s">
        <v>247</v>
      </c>
      <c r="J23" s="28" t="s">
        <v>377</v>
      </c>
      <c r="K23" s="29"/>
      <c r="L23" s="29"/>
      <c r="M23" s="30" t="s">
        <v>55</v>
      </c>
      <c r="N23" s="30" t="s">
        <v>255</v>
      </c>
      <c r="O23" s="31" t="s">
        <v>134</v>
      </c>
      <c r="P23" s="32"/>
      <c r="Q23" s="180">
        <v>1</v>
      </c>
      <c r="R23" s="32" t="s">
        <v>379</v>
      </c>
      <c r="S23" s="33"/>
      <c r="T23" s="33"/>
      <c r="U23" s="33">
        <v>258072727</v>
      </c>
      <c r="V23" s="33"/>
      <c r="W23" s="34"/>
      <c r="X23" s="35"/>
      <c r="Y23" s="34"/>
      <c r="Z23" s="35"/>
      <c r="AA23" s="36">
        <v>0</v>
      </c>
      <c r="AB23" s="36">
        <f t="shared" si="5"/>
        <v>0</v>
      </c>
      <c r="AC23" s="37">
        <f t="shared" si="6"/>
        <v>0</v>
      </c>
      <c r="AD23" s="40">
        <f t="shared" si="11"/>
        <v>0</v>
      </c>
      <c r="AE23" s="37"/>
      <c r="AF23" s="37"/>
      <c r="AG23" s="37"/>
      <c r="AH23" s="33"/>
      <c r="AI23" s="38"/>
      <c r="AJ23" s="39"/>
      <c r="AK23" s="31" t="s">
        <v>250</v>
      </c>
      <c r="AL23" s="181">
        <f>IF(E23&gt;=DATE(2026,4,1),IF(OR($AK23="Khách hàng thông thường",$AK23="Khách hàng chuyển đổi xe xăng"),IFERROR(VLOOKUP($M23,'[1]CSBH THƯỞNG XE'!$U$3:$YY$800,3,0),0),IF($AK23="Khách hàng Khối Quân đội - Công An",IFERROR(VLOOKUP($M23,'[1]CSBH THƯỞNG XE'!$U$3:$X$600,4,0),0),IF($AK23="Khách hàng Giờ trái đất",IFERROR(VLOOKUP($M23,'[1]CSBH THƯỞNG XE'!$U$3:$Y$700,5,0),0),0))),0)</f>
        <v>8000000</v>
      </c>
      <c r="AM23" s="181"/>
      <c r="AN23" s="181"/>
      <c r="AO23" s="182">
        <f t="shared" si="12"/>
        <v>4800000</v>
      </c>
      <c r="AP23" s="182">
        <f t="shared" si="13"/>
        <v>4800000</v>
      </c>
      <c r="AQ23" s="183">
        <f t="shared" si="14"/>
        <v>4800000</v>
      </c>
      <c r="AR23" s="46">
        <f t="shared" si="7"/>
        <v>0</v>
      </c>
      <c r="AS23" s="46">
        <f t="shared" si="8"/>
        <v>0</v>
      </c>
      <c r="AT23" s="46">
        <v>0</v>
      </c>
      <c r="AU23" s="46">
        <v>0</v>
      </c>
      <c r="AV23" s="47"/>
      <c r="AW23" s="279"/>
      <c r="AX23" s="279"/>
      <c r="AZ23" s="280"/>
      <c r="BA23" s="281" t="s">
        <v>1981</v>
      </c>
      <c r="BB23" s="282">
        <f>VLOOKUP(H23,[1]NVKD!$C$1:$M$3296,11,0)</f>
        <v>10</v>
      </c>
      <c r="BC23" s="281" t="s">
        <v>1982</v>
      </c>
      <c r="BD23" s="283" t="str">
        <f t="shared" si="9"/>
        <v>Showroom Bến Lức</v>
      </c>
      <c r="BF23" s="284">
        <f t="shared" si="10"/>
        <v>0</v>
      </c>
      <c r="BG23" s="284">
        <f>IFERROR(IF(Y23=0,0, IF(Y23 / VLOOKUP(M23,'[1]CSBH THƯỞNG XE'!$U$3:$AA$1100,7,FALSE) &lt; 0.5,0,MIN((Y23 / VLOOKUP(M23,'[1]CSBH THƯỞNG XE'!$U$3:$AA$1100,7,FALSE)) * 20%,20%))),0)</f>
        <v>0</v>
      </c>
      <c r="BI23" s="263"/>
    </row>
    <row r="24" spans="1:61" ht="20.149999999999999" customHeight="1">
      <c r="A24" s="178">
        <v>46118</v>
      </c>
      <c r="B24" s="179">
        <f t="shared" si="2"/>
        <v>6</v>
      </c>
      <c r="C24" s="179">
        <f t="shared" si="3"/>
        <v>4</v>
      </c>
      <c r="D24" s="179">
        <f t="shared" si="4"/>
        <v>2026</v>
      </c>
      <c r="E24" s="178">
        <v>46119</v>
      </c>
      <c r="F24" s="26" t="s">
        <v>1036</v>
      </c>
      <c r="G24" s="27" t="s">
        <v>254</v>
      </c>
      <c r="H24" s="28" t="s">
        <v>345</v>
      </c>
      <c r="I24" s="28" t="s">
        <v>169</v>
      </c>
      <c r="J24" s="28" t="s">
        <v>346</v>
      </c>
      <c r="K24" s="29"/>
      <c r="L24" s="29"/>
      <c r="M24" s="30" t="s">
        <v>110</v>
      </c>
      <c r="N24" s="30" t="s">
        <v>1037</v>
      </c>
      <c r="O24" s="31" t="s">
        <v>105</v>
      </c>
      <c r="P24" s="32"/>
      <c r="Q24" s="180">
        <v>1</v>
      </c>
      <c r="R24" s="32" t="s">
        <v>348</v>
      </c>
      <c r="S24" s="33"/>
      <c r="T24" s="33"/>
      <c r="U24" s="33">
        <v>431263636</v>
      </c>
      <c r="V24" s="33"/>
      <c r="W24" s="34"/>
      <c r="X24" s="35"/>
      <c r="Y24" s="34"/>
      <c r="Z24" s="35"/>
      <c r="AA24" s="36">
        <v>7000000</v>
      </c>
      <c r="AB24" s="36">
        <f t="shared" si="5"/>
        <v>7000000</v>
      </c>
      <c r="AC24" s="37">
        <f t="shared" si="6"/>
        <v>7000000</v>
      </c>
      <c r="AD24" s="40">
        <f t="shared" si="11"/>
        <v>7000000</v>
      </c>
      <c r="AE24" s="37"/>
      <c r="AF24" s="37"/>
      <c r="AG24" s="37"/>
      <c r="AH24" s="33"/>
      <c r="AI24" s="38"/>
      <c r="AJ24" s="39"/>
      <c r="AK24" s="31" t="s">
        <v>250</v>
      </c>
      <c r="AL24" s="181">
        <f>IF(E24&gt;=DATE(2026,4,1),IF(OR($AK24="Khách hàng thông thường",$AK24="Khách hàng chuyển đổi xe xăng"),IFERROR(VLOOKUP($M24,'[1]CSBH THƯỞNG XE'!$U$3:$YY$800,3,0),0),IF($AK24="Khách hàng Khối Quân đội - Công An",IFERROR(VLOOKUP($M24,'[1]CSBH THƯỞNG XE'!$U$3:$X$600,4,0),0),IF($AK24="Khách hàng Giờ trái đất",IFERROR(VLOOKUP($M24,'[1]CSBH THƯỞNG XE'!$U$3:$Y$700,5,0),0),0))),0)</f>
        <v>16000000</v>
      </c>
      <c r="AM24" s="181"/>
      <c r="AN24" s="181"/>
      <c r="AO24" s="182">
        <f t="shared" si="12"/>
        <v>7200000</v>
      </c>
      <c r="AP24" s="182">
        <f t="shared" si="13"/>
        <v>7200000</v>
      </c>
      <c r="AQ24" s="183">
        <f t="shared" si="14"/>
        <v>7200000</v>
      </c>
      <c r="AR24" s="46">
        <f t="shared" si="7"/>
        <v>0</v>
      </c>
      <c r="AS24" s="46">
        <f t="shared" si="8"/>
        <v>0</v>
      </c>
      <c r="AT24" s="46">
        <v>0</v>
      </c>
      <c r="AU24" s="46">
        <v>0</v>
      </c>
      <c r="AV24" s="47"/>
      <c r="AW24" s="279"/>
      <c r="AX24" s="279"/>
      <c r="AZ24" s="280"/>
      <c r="BA24" s="281">
        <v>0</v>
      </c>
      <c r="BB24" s="282">
        <f>VLOOKUP(H24,[1]NVKD!$C$1:$M$3296,11,0)</f>
        <v>3</v>
      </c>
      <c r="BC24" s="281" t="s">
        <v>1984</v>
      </c>
      <c r="BD24" s="283" t="str">
        <f t="shared" si="9"/>
        <v>Showroom Sala</v>
      </c>
      <c r="BF24" s="284">
        <f t="shared" si="10"/>
        <v>0.2</v>
      </c>
      <c r="BG24" s="284">
        <f>IFERROR(IF(Y24=0,0, IF(Y24 / VLOOKUP(M24,'[1]CSBH THƯỞNG XE'!$U$3:$AA$1100,7,FALSE) &lt; 0.5,0,MIN((Y24 / VLOOKUP(M24,'[1]CSBH THƯỞNG XE'!$U$3:$AA$1100,7,FALSE)) * 20%,20%))),0)</f>
        <v>0</v>
      </c>
      <c r="BI24" s="263"/>
    </row>
    <row r="25" spans="1:61" ht="20.149999999999999" customHeight="1">
      <c r="A25" s="178">
        <v>46111</v>
      </c>
      <c r="B25" s="179">
        <f t="shared" si="2"/>
        <v>30</v>
      </c>
      <c r="C25" s="179">
        <f t="shared" si="3"/>
        <v>3</v>
      </c>
      <c r="D25" s="179">
        <f t="shared" si="4"/>
        <v>2026</v>
      </c>
      <c r="E25" s="178">
        <v>46120</v>
      </c>
      <c r="F25" s="26" t="s">
        <v>1038</v>
      </c>
      <c r="G25" s="27" t="s">
        <v>246</v>
      </c>
      <c r="H25" s="28" t="s">
        <v>135</v>
      </c>
      <c r="I25" s="28" t="s">
        <v>286</v>
      </c>
      <c r="J25" s="28" t="s">
        <v>380</v>
      </c>
      <c r="K25" s="29"/>
      <c r="L25" s="29"/>
      <c r="M25" s="30" t="s">
        <v>114</v>
      </c>
      <c r="N25" s="30" t="s">
        <v>266</v>
      </c>
      <c r="O25" s="31" t="s">
        <v>52</v>
      </c>
      <c r="P25" s="32"/>
      <c r="Q25" s="180">
        <v>1</v>
      </c>
      <c r="R25" s="32" t="s">
        <v>382</v>
      </c>
      <c r="S25" s="33"/>
      <c r="T25" s="33"/>
      <c r="U25" s="33">
        <v>629145455</v>
      </c>
      <c r="V25" s="33"/>
      <c r="W25" s="34"/>
      <c r="X25" s="35"/>
      <c r="Y25" s="34"/>
      <c r="Z25" s="35"/>
      <c r="AA25" s="36">
        <v>12000000</v>
      </c>
      <c r="AB25" s="36">
        <f t="shared" si="5"/>
        <v>12000000</v>
      </c>
      <c r="AC25" s="37">
        <f t="shared" si="6"/>
        <v>12000000</v>
      </c>
      <c r="AD25" s="40">
        <f t="shared" si="11"/>
        <v>12000000</v>
      </c>
      <c r="AE25" s="37"/>
      <c r="AF25" s="37"/>
      <c r="AG25" s="37"/>
      <c r="AH25" s="33"/>
      <c r="AI25" s="38"/>
      <c r="AJ25" s="39"/>
      <c r="AK25" s="31" t="s">
        <v>250</v>
      </c>
      <c r="AL25" s="181">
        <f>IF(E25&gt;=DATE(2026,4,1),IF(OR($AK25="Khách hàng thông thường",$AK25="Khách hàng chuyển đổi xe xăng"),IFERROR(VLOOKUP($M25,'[1]CSBH THƯỞNG XE'!$U$3:$YY$800,3,0),0),IF($AK25="Khách hàng Khối Quân đội - Công An",IFERROR(VLOOKUP($M25,'[1]CSBH THƯỞNG XE'!$U$3:$X$600,4,0),0),IF($AK25="Khách hàng Giờ trái đất",IFERROR(VLOOKUP($M25,'[1]CSBH THƯỞNG XE'!$U$3:$Y$700,5,0),0),0))),0)</f>
        <v>19000000</v>
      </c>
      <c r="AM25" s="181"/>
      <c r="AN25" s="181"/>
      <c r="AO25" s="182">
        <f t="shared" si="12"/>
        <v>4200000</v>
      </c>
      <c r="AP25" s="182">
        <f t="shared" si="13"/>
        <v>4200000</v>
      </c>
      <c r="AQ25" s="183">
        <f t="shared" si="14"/>
        <v>7200000</v>
      </c>
      <c r="AR25" s="46">
        <f t="shared" si="7"/>
        <v>0</v>
      </c>
      <c r="AS25" s="46">
        <f t="shared" si="8"/>
        <v>3000000</v>
      </c>
      <c r="AT25" s="46">
        <v>0</v>
      </c>
      <c r="AU25" s="46">
        <v>0</v>
      </c>
      <c r="AV25" s="47"/>
      <c r="AW25" s="279"/>
      <c r="AX25" s="279"/>
      <c r="AZ25" s="280"/>
      <c r="BA25" s="281" t="s">
        <v>1983</v>
      </c>
      <c r="BB25" s="282">
        <f>VLOOKUP(H25,[1]NVKD!$C$1:$M$3296,11,0)</f>
        <v>6</v>
      </c>
      <c r="BC25" s="281" t="s">
        <v>1982</v>
      </c>
      <c r="BD25" s="283" t="str">
        <f t="shared" si="9"/>
        <v>Showroom Bến Lức</v>
      </c>
      <c r="BF25" s="284">
        <f t="shared" si="10"/>
        <v>0</v>
      </c>
      <c r="BG25" s="284">
        <f>IFERROR(IF(Y25=0,0, IF(Y25 / VLOOKUP(M25,'[1]CSBH THƯỞNG XE'!$U$3:$AA$1100,7,FALSE) &lt; 0.5,0,MIN((Y25 / VLOOKUP(M25,'[1]CSBH THƯỞNG XE'!$U$3:$AA$1100,7,FALSE)) * 20%,20%))),0)</f>
        <v>0</v>
      </c>
      <c r="BI25" s="263"/>
    </row>
    <row r="26" spans="1:61" ht="20.149999999999999" customHeight="1">
      <c r="A26" s="178">
        <v>46107</v>
      </c>
      <c r="B26" s="179">
        <f t="shared" si="2"/>
        <v>26</v>
      </c>
      <c r="C26" s="179">
        <f t="shared" si="3"/>
        <v>3</v>
      </c>
      <c r="D26" s="179">
        <f t="shared" si="4"/>
        <v>2026</v>
      </c>
      <c r="E26" s="178">
        <v>46121</v>
      </c>
      <c r="F26" s="26" t="s">
        <v>1039</v>
      </c>
      <c r="G26" s="27" t="s">
        <v>254</v>
      </c>
      <c r="H26" s="28" t="s">
        <v>171</v>
      </c>
      <c r="I26" s="28"/>
      <c r="J26" s="28" t="s">
        <v>356</v>
      </c>
      <c r="K26" s="29"/>
      <c r="L26" s="29"/>
      <c r="M26" s="30" t="s">
        <v>125</v>
      </c>
      <c r="N26" s="30" t="s">
        <v>256</v>
      </c>
      <c r="O26" s="31" t="s">
        <v>174</v>
      </c>
      <c r="P26" s="32"/>
      <c r="Q26" s="180">
        <v>1</v>
      </c>
      <c r="R26" s="32" t="s">
        <v>358</v>
      </c>
      <c r="S26" s="33"/>
      <c r="T26" s="33"/>
      <c r="U26" s="33">
        <v>257454545</v>
      </c>
      <c r="V26" s="33"/>
      <c r="W26" s="34"/>
      <c r="X26" s="35"/>
      <c r="Y26" s="34"/>
      <c r="Z26" s="35"/>
      <c r="AA26" s="36">
        <v>3500000</v>
      </c>
      <c r="AB26" s="36">
        <f t="shared" si="5"/>
        <v>3500000</v>
      </c>
      <c r="AC26" s="37">
        <f t="shared" si="6"/>
        <v>3500000</v>
      </c>
      <c r="AD26" s="40">
        <f t="shared" si="11"/>
        <v>3500000</v>
      </c>
      <c r="AE26" s="37"/>
      <c r="AF26" s="37"/>
      <c r="AG26" s="37"/>
      <c r="AH26" s="33"/>
      <c r="AI26" s="38"/>
      <c r="AJ26" s="39"/>
      <c r="AK26" s="31" t="s">
        <v>250</v>
      </c>
      <c r="AL26" s="181">
        <f>IF(E26&gt;=DATE(2026,4,1),IF(OR($AK26="Khách hàng thông thường",$AK26="Khách hàng chuyển đổi xe xăng"),IFERROR(VLOOKUP($M26,'[1]CSBH THƯỞNG XE'!$U$3:$YY$800,3,0),0),IF($AK26="Khách hàng Khối Quân đội - Công An",IFERROR(VLOOKUP($M26,'[1]CSBH THƯỞNG XE'!$U$3:$X$600,4,0),0),IF($AK26="Khách hàng Giờ trái đất",IFERROR(VLOOKUP($M26,'[1]CSBH THƯỞNG XE'!$U$3:$Y$700,5,0),0),0))),0)</f>
        <v>7500000</v>
      </c>
      <c r="AM26" s="181"/>
      <c r="AN26" s="181"/>
      <c r="AO26" s="182">
        <f t="shared" si="12"/>
        <v>3200000</v>
      </c>
      <c r="AP26" s="182">
        <f t="shared" si="13"/>
        <v>3200000</v>
      </c>
      <c r="AQ26" s="183">
        <f t="shared" si="14"/>
        <v>3200000</v>
      </c>
      <c r="AR26" s="46">
        <f t="shared" si="7"/>
        <v>0</v>
      </c>
      <c r="AS26" s="46">
        <f t="shared" si="8"/>
        <v>0</v>
      </c>
      <c r="AT26" s="46">
        <v>0</v>
      </c>
      <c r="AU26" s="46">
        <v>0</v>
      </c>
      <c r="AV26" s="47"/>
      <c r="AW26" s="279"/>
      <c r="AX26" s="279"/>
      <c r="AZ26" s="280"/>
      <c r="BA26" s="281">
        <v>0</v>
      </c>
      <c r="BB26" s="282">
        <f>VLOOKUP(H26,[1]NVKD!$C$1:$M$3296,11,0)</f>
        <v>3</v>
      </c>
      <c r="BC26" s="281" t="s">
        <v>1984</v>
      </c>
      <c r="BD26" s="283" t="str">
        <f t="shared" si="9"/>
        <v>Showroom Sala</v>
      </c>
      <c r="BF26" s="284">
        <f t="shared" si="10"/>
        <v>0.2</v>
      </c>
      <c r="BG26" s="284">
        <f>IFERROR(IF(Y26=0,0, IF(Y26 / VLOOKUP(M26,'[1]CSBH THƯỞNG XE'!$U$3:$AA$1100,7,FALSE) &lt; 0.5,0,MIN((Y26 / VLOOKUP(M26,'[1]CSBH THƯỞNG XE'!$U$3:$AA$1100,7,FALSE)) * 20%,20%))),0)</f>
        <v>0</v>
      </c>
      <c r="BI26" s="263"/>
    </row>
    <row r="27" spans="1:61" ht="20.149999999999999" customHeight="1">
      <c r="A27" s="178">
        <v>46106</v>
      </c>
      <c r="B27" s="179">
        <f t="shared" si="2"/>
        <v>25</v>
      </c>
      <c r="C27" s="179">
        <f t="shared" si="3"/>
        <v>3</v>
      </c>
      <c r="D27" s="179">
        <f t="shared" si="4"/>
        <v>2026</v>
      </c>
      <c r="E27" s="178">
        <v>46122</v>
      </c>
      <c r="F27" s="26" t="s">
        <v>1040</v>
      </c>
      <c r="G27" s="27" t="s">
        <v>258</v>
      </c>
      <c r="H27" s="28" t="s">
        <v>184</v>
      </c>
      <c r="I27" s="28" t="s">
        <v>259</v>
      </c>
      <c r="J27" s="28" t="s">
        <v>1041</v>
      </c>
      <c r="K27" s="29"/>
      <c r="L27" s="29"/>
      <c r="M27" s="30" t="s">
        <v>110</v>
      </c>
      <c r="N27" s="30" t="s">
        <v>262</v>
      </c>
      <c r="O27" s="31" t="s">
        <v>140</v>
      </c>
      <c r="P27" s="32"/>
      <c r="Q27" s="180">
        <v>1</v>
      </c>
      <c r="R27" s="32" t="s">
        <v>480</v>
      </c>
      <c r="S27" s="33"/>
      <c r="T27" s="33"/>
      <c r="U27" s="33">
        <v>435470955</v>
      </c>
      <c r="V27" s="33"/>
      <c r="W27" s="34">
        <v>6706253</v>
      </c>
      <c r="X27" s="35"/>
      <c r="Y27" s="34">
        <v>3829889</v>
      </c>
      <c r="Z27" s="35"/>
      <c r="AA27" s="36">
        <v>0</v>
      </c>
      <c r="AB27" s="36">
        <f t="shared" si="5"/>
        <v>0</v>
      </c>
      <c r="AC27" s="37">
        <f t="shared" si="6"/>
        <v>0</v>
      </c>
      <c r="AD27" s="40">
        <f t="shared" si="11"/>
        <v>0</v>
      </c>
      <c r="AE27" s="37"/>
      <c r="AF27" s="37"/>
      <c r="AG27" s="37"/>
      <c r="AH27" s="33"/>
      <c r="AI27" s="38"/>
      <c r="AJ27" s="39"/>
      <c r="AK27" s="31" t="s">
        <v>250</v>
      </c>
      <c r="AL27" s="181">
        <f>IF(E27&gt;=DATE(2026,4,1),IF(OR($AK27="Khách hàng thông thường",$AK27="Khách hàng chuyển đổi xe xăng"),IFERROR(VLOOKUP($M27,'[1]CSBH THƯỞNG XE'!$U$3:$YY$800,3,0),0),IF($AK27="Khách hàng Khối Quân đội - Công An",IFERROR(VLOOKUP($M27,'[1]CSBH THƯỞNG XE'!$U$3:$X$600,4,0),0),IF($AK27="Khách hàng Giờ trái đất",IFERROR(VLOOKUP($M27,'[1]CSBH THƯỞNG XE'!$U$3:$Y$700,5,0),0),0))),0)</f>
        <v>16000000</v>
      </c>
      <c r="AM27" s="181"/>
      <c r="AN27" s="181"/>
      <c r="AO27" s="182">
        <f t="shared" si="12"/>
        <v>16000000</v>
      </c>
      <c r="AP27" s="182">
        <f t="shared" si="13"/>
        <v>16000000</v>
      </c>
      <c r="AQ27" s="183">
        <f t="shared" si="14"/>
        <v>16000000</v>
      </c>
      <c r="AR27" s="46">
        <f t="shared" si="7"/>
        <v>0</v>
      </c>
      <c r="AS27" s="46">
        <f t="shared" si="8"/>
        <v>0</v>
      </c>
      <c r="AT27" s="46">
        <v>0</v>
      </c>
      <c r="AU27" s="46">
        <v>5987725.625</v>
      </c>
      <c r="AV27" s="34">
        <v>3829889</v>
      </c>
      <c r="AW27" s="279"/>
      <c r="AX27" s="279"/>
      <c r="AZ27" s="280"/>
      <c r="BA27" s="281" t="s">
        <v>1981</v>
      </c>
      <c r="BB27" s="282">
        <f>VLOOKUP(H27,[1]NVKD!$C$1:$M$3296,11,0)</f>
        <v>3</v>
      </c>
      <c r="BC27" s="281" t="s">
        <v>1982</v>
      </c>
      <c r="BD27" s="283" t="str">
        <f t="shared" si="9"/>
        <v>Showroom 50 Nguyễn Văn Tăng</v>
      </c>
      <c r="BF27" s="284">
        <f t="shared" si="10"/>
        <v>0.2</v>
      </c>
      <c r="BG27" s="284">
        <f>IFERROR(IF(Y27=0,0, IF(Y27 / VLOOKUP(M27,'[1]CSBH THƯỞNG XE'!$U$3:$AA$1100,7,FALSE) &lt; 0.5,0,MIN((Y27 / VLOOKUP(M27,'[1]CSBH THƯỞNG XE'!$U$3:$AA$1100,7,FALSE)) * 20%,20%))),0)</f>
        <v>0.2</v>
      </c>
      <c r="BI27" s="263"/>
    </row>
    <row r="28" spans="1:61" ht="20.149999999999999" customHeight="1">
      <c r="A28" s="178" t="s">
        <v>1970</v>
      </c>
      <c r="B28" s="179"/>
      <c r="C28" s="179"/>
      <c r="D28" s="179"/>
      <c r="E28" s="178" t="s">
        <v>1971</v>
      </c>
      <c r="F28" s="26" t="s">
        <v>1572</v>
      </c>
      <c r="G28" s="27" t="s">
        <v>258</v>
      </c>
      <c r="H28" s="28" t="s">
        <v>184</v>
      </c>
      <c r="I28" s="28" t="s">
        <v>259</v>
      </c>
      <c r="J28" s="28" t="s">
        <v>1574</v>
      </c>
      <c r="K28" s="29"/>
      <c r="L28" s="29"/>
      <c r="M28" s="30" t="s">
        <v>276</v>
      </c>
      <c r="N28" s="30" t="s">
        <v>266</v>
      </c>
      <c r="O28" s="31" t="s">
        <v>140</v>
      </c>
      <c r="P28" s="32"/>
      <c r="Q28" s="180">
        <v>1</v>
      </c>
      <c r="R28" s="32" t="s">
        <v>599</v>
      </c>
      <c r="S28" s="33"/>
      <c r="T28" s="33"/>
      <c r="U28" s="33">
        <v>700300000</v>
      </c>
      <c r="V28" s="33"/>
      <c r="W28" s="34"/>
      <c r="X28" s="35"/>
      <c r="Y28" s="34"/>
      <c r="Z28" s="35"/>
      <c r="AA28" s="36">
        <v>0</v>
      </c>
      <c r="AB28" s="36">
        <f t="shared" ref="AB28" si="15">SUM(X28:AA28)-Y28</f>
        <v>0</v>
      </c>
      <c r="AC28" s="37">
        <f t="shared" ref="AC28" si="16">SUM(X28:AA28)-Y28-X28</f>
        <v>0</v>
      </c>
      <c r="AD28" s="40">
        <f t="shared" si="11"/>
        <v>0</v>
      </c>
      <c r="AE28" s="37"/>
      <c r="AF28" s="37"/>
      <c r="AG28" s="37"/>
      <c r="AH28" s="33"/>
      <c r="AI28" s="38"/>
      <c r="AJ28" s="39"/>
      <c r="AK28" s="31" t="s">
        <v>250</v>
      </c>
      <c r="AL28" s="181">
        <f>IF(E28&gt;=DATE(2026,4,1),IF(OR($AK28="Khách hàng thông thường",$AK28="Khách hàng chuyển đổi xe xăng"),IFERROR(VLOOKUP($M28,'[1]CSBH THƯỞNG XE'!$U$3:$YY$800,3,0),0),IF($AK28="Khách hàng Khối Quân đội - Công An",IFERROR(VLOOKUP($M28,'[1]CSBH THƯỞNG XE'!$U$3:$X$600,4,0),0),IF($AK28="Khách hàng Giờ trái đất",IFERROR(VLOOKUP($M28,'[1]CSBH THƯỞNG XE'!$U$3:$Y$700,5,0),0),0))),0)</f>
        <v>20000000</v>
      </c>
      <c r="AM28" s="181"/>
      <c r="AN28" s="181"/>
      <c r="AO28" s="182">
        <f t="shared" si="12"/>
        <v>12000000</v>
      </c>
      <c r="AP28" s="182">
        <f t="shared" si="13"/>
        <v>12000000</v>
      </c>
      <c r="AQ28" s="183">
        <f t="shared" si="14"/>
        <v>12000000</v>
      </c>
      <c r="AR28" s="46"/>
      <c r="AS28" s="46"/>
      <c r="AT28" s="46"/>
      <c r="AU28" s="46"/>
      <c r="AV28" s="34"/>
      <c r="AW28" s="279"/>
      <c r="AX28" s="279"/>
      <c r="AZ28" s="280"/>
      <c r="BA28" s="281" t="s">
        <v>1983</v>
      </c>
      <c r="BB28" s="282">
        <f>VLOOKUP(H28,[1]NVKD!$C$1:$M$3296,11,0)</f>
        <v>3</v>
      </c>
      <c r="BC28" s="281" t="s">
        <v>1982</v>
      </c>
      <c r="BD28" s="283" t="str">
        <f t="shared" si="9"/>
        <v>Showroom 50 Nguyễn Văn Tăng</v>
      </c>
      <c r="BF28" s="284">
        <f t="shared" si="10"/>
        <v>0</v>
      </c>
      <c r="BG28" s="284">
        <f>IFERROR(IF(Y28=0,0, IF(Y28 / VLOOKUP(M28,'[1]CSBH THƯỞNG XE'!$U$3:$AA$1100,7,FALSE) &lt; 0.5,0,MIN((Y28 / VLOOKUP(M28,'[1]CSBH THƯỞNG XE'!$U$3:$AA$1100,7,FALSE)) * 20%,20%))),0)</f>
        <v>0</v>
      </c>
      <c r="BI28" s="263"/>
    </row>
    <row r="29" spans="1:61" ht="20.149999999999999" customHeight="1">
      <c r="A29" s="178">
        <v>46111</v>
      </c>
      <c r="B29" s="179">
        <f t="shared" si="2"/>
        <v>30</v>
      </c>
      <c r="C29" s="179">
        <f t="shared" si="3"/>
        <v>3</v>
      </c>
      <c r="D29" s="179">
        <f t="shared" si="4"/>
        <v>2026</v>
      </c>
      <c r="E29" s="178">
        <v>46122</v>
      </c>
      <c r="F29" s="26" t="s">
        <v>1042</v>
      </c>
      <c r="G29" s="44" t="s">
        <v>258</v>
      </c>
      <c r="H29" s="41" t="s">
        <v>142</v>
      </c>
      <c r="I29" s="41" t="s">
        <v>261</v>
      </c>
      <c r="J29" s="28" t="s">
        <v>1043</v>
      </c>
      <c r="K29" s="29"/>
      <c r="L29" s="29"/>
      <c r="M29" s="30" t="s">
        <v>114</v>
      </c>
      <c r="N29" s="30" t="s">
        <v>248</v>
      </c>
      <c r="O29" s="31" t="s">
        <v>114</v>
      </c>
      <c r="P29" s="32"/>
      <c r="Q29" s="180">
        <v>1</v>
      </c>
      <c r="R29" s="43" t="s">
        <v>115</v>
      </c>
      <c r="S29" s="33"/>
      <c r="T29" s="33"/>
      <c r="U29" s="33">
        <v>639572727</v>
      </c>
      <c r="V29" s="33"/>
      <c r="W29" s="34">
        <v>7978700</v>
      </c>
      <c r="X29" s="35"/>
      <c r="Y29" s="34"/>
      <c r="Z29" s="35"/>
      <c r="AA29" s="36">
        <v>12000000</v>
      </c>
      <c r="AB29" s="36">
        <f t="shared" si="5"/>
        <v>12000000</v>
      </c>
      <c r="AC29" s="37">
        <f t="shared" si="6"/>
        <v>12000000</v>
      </c>
      <c r="AD29" s="40">
        <f t="shared" si="11"/>
        <v>12000000</v>
      </c>
      <c r="AE29" s="37"/>
      <c r="AF29" s="37"/>
      <c r="AG29" s="37"/>
      <c r="AH29" s="33"/>
      <c r="AI29" s="38"/>
      <c r="AJ29" s="39"/>
      <c r="AK29" s="31" t="s">
        <v>250</v>
      </c>
      <c r="AL29" s="181">
        <f>IF(E29&gt;=DATE(2026,4,1),IF(OR($AK29="Khách hàng thông thường",$AK29="Khách hàng chuyển đổi xe xăng"),IFERROR(VLOOKUP($M29,'[1]CSBH THƯỞNG XE'!$U$3:$YY$800,3,0),0),IF($AK29="Khách hàng Khối Quân đội - Công An",IFERROR(VLOOKUP($M29,'[1]CSBH THƯỞNG XE'!$U$3:$X$600,4,0),0),IF($AK29="Khách hàng Giờ trái đất",IFERROR(VLOOKUP($M29,'[1]CSBH THƯỞNG XE'!$U$3:$Y$700,5,0),0),0))),0)</f>
        <v>19000000</v>
      </c>
      <c r="AM29" s="181"/>
      <c r="AN29" s="181"/>
      <c r="AO29" s="182">
        <f t="shared" si="12"/>
        <v>5600000</v>
      </c>
      <c r="AP29" s="182">
        <f t="shared" si="13"/>
        <v>5600000</v>
      </c>
      <c r="AQ29" s="183">
        <f t="shared" si="14"/>
        <v>8600000</v>
      </c>
      <c r="AR29" s="46">
        <f t="shared" si="7"/>
        <v>0</v>
      </c>
      <c r="AS29" s="46">
        <f t="shared" si="8"/>
        <v>3000000</v>
      </c>
      <c r="AT29" s="46">
        <v>0</v>
      </c>
      <c r="AU29" s="46">
        <v>0</v>
      </c>
      <c r="AV29" s="47"/>
      <c r="AW29" s="279"/>
      <c r="AX29" s="279"/>
      <c r="AZ29" s="280"/>
      <c r="BA29" s="281" t="s">
        <v>1983</v>
      </c>
      <c r="BB29" s="282">
        <f>VLOOKUP(H29,[1]NVKD!$C$1:$M$3296,11,0)</f>
        <v>2</v>
      </c>
      <c r="BC29" s="281" t="s">
        <v>1982</v>
      </c>
      <c r="BD29" s="283" t="str">
        <f t="shared" si="9"/>
        <v>Showroom 50 Nguyễn Văn Tăng</v>
      </c>
      <c r="BF29" s="284">
        <f t="shared" si="10"/>
        <v>0.2</v>
      </c>
      <c r="BG29" s="284">
        <f>IFERROR(IF(Y29=0,0, IF(Y29 / VLOOKUP(M29,'[1]CSBH THƯỞNG XE'!$U$3:$AA$1100,7,FALSE) &lt; 0.5,0,MIN((Y29 / VLOOKUP(M29,'[1]CSBH THƯỞNG XE'!$U$3:$AA$1100,7,FALSE)) * 20%,20%))),0)</f>
        <v>0</v>
      </c>
      <c r="BI29" s="263"/>
    </row>
    <row r="30" spans="1:61" ht="20.149999999999999" customHeight="1">
      <c r="A30" s="178">
        <v>46115</v>
      </c>
      <c r="B30" s="179">
        <f t="shared" si="2"/>
        <v>3</v>
      </c>
      <c r="C30" s="179">
        <f t="shared" si="3"/>
        <v>4</v>
      </c>
      <c r="D30" s="179">
        <f t="shared" si="4"/>
        <v>2026</v>
      </c>
      <c r="E30" s="178">
        <v>46122</v>
      </c>
      <c r="F30" s="26" t="s">
        <v>1044</v>
      </c>
      <c r="G30" s="27" t="s">
        <v>254</v>
      </c>
      <c r="H30" s="28" t="s">
        <v>163</v>
      </c>
      <c r="I30" s="28" t="s">
        <v>169</v>
      </c>
      <c r="J30" s="28" t="s">
        <v>359</v>
      </c>
      <c r="K30" s="29"/>
      <c r="L30" s="29"/>
      <c r="M30" s="30" t="s">
        <v>110</v>
      </c>
      <c r="N30" s="30" t="s">
        <v>255</v>
      </c>
      <c r="O30" s="31" t="s">
        <v>105</v>
      </c>
      <c r="P30" s="32"/>
      <c r="Q30" s="180">
        <v>1</v>
      </c>
      <c r="R30" s="32" t="s">
        <v>361</v>
      </c>
      <c r="S30" s="33"/>
      <c r="T30" s="33"/>
      <c r="U30" s="33">
        <v>460118182</v>
      </c>
      <c r="V30" s="33"/>
      <c r="W30" s="34">
        <v>7086000</v>
      </c>
      <c r="X30" s="35"/>
      <c r="Y30" s="34"/>
      <c r="Z30" s="35"/>
      <c r="AA30" s="36">
        <v>7000000</v>
      </c>
      <c r="AB30" s="36">
        <f t="shared" si="5"/>
        <v>7000000</v>
      </c>
      <c r="AC30" s="37">
        <f t="shared" si="6"/>
        <v>7000000</v>
      </c>
      <c r="AD30" s="40">
        <f t="shared" si="11"/>
        <v>7000000</v>
      </c>
      <c r="AE30" s="37"/>
      <c r="AF30" s="37"/>
      <c r="AG30" s="37"/>
      <c r="AH30" s="33"/>
      <c r="AI30" s="38"/>
      <c r="AJ30" s="39"/>
      <c r="AK30" s="31" t="s">
        <v>250</v>
      </c>
      <c r="AL30" s="181">
        <f>IF(E30&gt;=DATE(2026,4,1),IF(OR($AK30="Khách hàng thông thường",$AK30="Khách hàng chuyển đổi xe xăng"),IFERROR(VLOOKUP($M30,'[1]CSBH THƯỞNG XE'!$U$3:$YY$800,3,0),0),IF($AK30="Khách hàng Khối Quân đội - Công An",IFERROR(VLOOKUP($M30,'[1]CSBH THƯỞNG XE'!$U$3:$X$600,4,0),0),IF($AK30="Khách hàng Giờ trái đất",IFERROR(VLOOKUP($M30,'[1]CSBH THƯỞNG XE'!$U$3:$Y$700,5,0),0),0))),0)</f>
        <v>16000000</v>
      </c>
      <c r="AM30" s="181"/>
      <c r="AN30" s="181"/>
      <c r="AO30" s="182">
        <f t="shared" si="12"/>
        <v>7200000</v>
      </c>
      <c r="AP30" s="182">
        <f t="shared" si="13"/>
        <v>7200000</v>
      </c>
      <c r="AQ30" s="183">
        <f t="shared" si="14"/>
        <v>7200000</v>
      </c>
      <c r="AR30" s="46">
        <f t="shared" si="7"/>
        <v>0</v>
      </c>
      <c r="AS30" s="46">
        <f t="shared" si="8"/>
        <v>0</v>
      </c>
      <c r="AT30" s="46">
        <v>0</v>
      </c>
      <c r="AU30" s="46">
        <v>7086000</v>
      </c>
      <c r="AV30" s="47"/>
      <c r="AW30" s="279"/>
      <c r="AX30" s="279"/>
      <c r="AZ30" s="280"/>
      <c r="BA30" s="281" t="s">
        <v>1983</v>
      </c>
      <c r="BB30" s="282">
        <f>VLOOKUP(H30,[1]NVKD!$C$1:$M$3296,11,0)</f>
        <v>1</v>
      </c>
      <c r="BC30" s="281" t="s">
        <v>1982</v>
      </c>
      <c r="BD30" s="283" t="str">
        <f t="shared" si="9"/>
        <v>Showroom Sala</v>
      </c>
      <c r="BF30" s="284">
        <f t="shared" si="10"/>
        <v>0.2</v>
      </c>
      <c r="BG30" s="284">
        <f>IFERROR(IF(Y30=0,0, IF(Y30 / VLOOKUP(M30,'[1]CSBH THƯỞNG XE'!$U$3:$AA$1100,7,FALSE) &lt; 0.5,0,MIN((Y30 / VLOOKUP(M30,'[1]CSBH THƯỞNG XE'!$U$3:$AA$1100,7,FALSE)) * 20%,20%))),0)</f>
        <v>0</v>
      </c>
      <c r="BI30" s="263"/>
    </row>
    <row r="31" spans="1:61" ht="20.149999999999999" customHeight="1">
      <c r="A31" s="178">
        <v>46116</v>
      </c>
      <c r="B31" s="179">
        <f t="shared" si="2"/>
        <v>4</v>
      </c>
      <c r="C31" s="179">
        <f t="shared" si="3"/>
        <v>4</v>
      </c>
      <c r="D31" s="179">
        <f t="shared" si="4"/>
        <v>2026</v>
      </c>
      <c r="E31" s="178">
        <v>46122</v>
      </c>
      <c r="F31" s="26" t="s">
        <v>1045</v>
      </c>
      <c r="G31" s="27" t="s">
        <v>254</v>
      </c>
      <c r="H31" s="28" t="s">
        <v>21</v>
      </c>
      <c r="I31" s="28">
        <v>0</v>
      </c>
      <c r="J31" s="28" t="s">
        <v>405</v>
      </c>
      <c r="K31" s="29"/>
      <c r="L31" s="29"/>
      <c r="M31" s="30" t="s">
        <v>257</v>
      </c>
      <c r="N31" s="30" t="s">
        <v>266</v>
      </c>
      <c r="O31" s="31" t="s">
        <v>117</v>
      </c>
      <c r="P31" s="32"/>
      <c r="Q31" s="180">
        <v>1</v>
      </c>
      <c r="R31" s="32" t="s">
        <v>407</v>
      </c>
      <c r="S31" s="33"/>
      <c r="T31" s="33"/>
      <c r="U31" s="33">
        <v>744545455</v>
      </c>
      <c r="V31" s="33"/>
      <c r="W31" s="34">
        <v>8190000</v>
      </c>
      <c r="X31" s="35"/>
      <c r="Y31" s="34"/>
      <c r="Z31" s="35"/>
      <c r="AA31" s="36">
        <v>0</v>
      </c>
      <c r="AB31" s="36">
        <f t="shared" si="5"/>
        <v>0</v>
      </c>
      <c r="AC31" s="37">
        <f t="shared" si="6"/>
        <v>0</v>
      </c>
      <c r="AD31" s="40">
        <f t="shared" si="11"/>
        <v>0</v>
      </c>
      <c r="AE31" s="37"/>
      <c r="AF31" s="37"/>
      <c r="AG31" s="37"/>
      <c r="AH31" s="33"/>
      <c r="AI31" s="38"/>
      <c r="AJ31" s="39"/>
      <c r="AK31" s="31" t="s">
        <v>250</v>
      </c>
      <c r="AL31" s="181">
        <f>IF(E31&gt;=DATE(2026,4,1),IF(OR($AK31="Khách hàng thông thường",$AK31="Khách hàng chuyển đổi xe xăng"),IFERROR(VLOOKUP($M31,'[1]CSBH THƯỞNG XE'!$U$3:$YY$800,3,0),0),IF($AK31="Khách hàng Khối Quân đội - Công An",IFERROR(VLOOKUP($M31,'[1]CSBH THƯỞNG XE'!$U$3:$X$600,4,0),0),IF($AK31="Khách hàng Giờ trái đất",IFERROR(VLOOKUP($M31,'[1]CSBH THƯỞNG XE'!$U$3:$Y$700,5,0),0),0))),0)</f>
        <v>20000000</v>
      </c>
      <c r="AM31" s="181"/>
      <c r="AN31" s="181"/>
      <c r="AO31" s="182">
        <f t="shared" si="12"/>
        <v>16000000</v>
      </c>
      <c r="AP31" s="182">
        <f t="shared" si="13"/>
        <v>16000000</v>
      </c>
      <c r="AQ31" s="183">
        <f t="shared" si="14"/>
        <v>16000000</v>
      </c>
      <c r="AR31" s="46">
        <f t="shared" si="7"/>
        <v>0</v>
      </c>
      <c r="AS31" s="46">
        <f t="shared" si="8"/>
        <v>0</v>
      </c>
      <c r="AT31" s="46">
        <v>0</v>
      </c>
      <c r="AU31" s="46">
        <v>8190000</v>
      </c>
      <c r="AV31" s="47"/>
      <c r="AW31" s="279"/>
      <c r="AX31" s="279"/>
      <c r="AZ31" s="280"/>
      <c r="BA31" s="281">
        <v>0</v>
      </c>
      <c r="BB31" s="282">
        <f>VLOOKUP(H31,[1]NVKD!$C$1:$M$3296,11,0)</f>
        <v>3</v>
      </c>
      <c r="BC31" s="281" t="s">
        <v>1982</v>
      </c>
      <c r="BD31" s="283" t="str">
        <f t="shared" si="9"/>
        <v>Showroom Sala</v>
      </c>
      <c r="BF31" s="284">
        <f t="shared" si="10"/>
        <v>0.2</v>
      </c>
      <c r="BG31" s="284">
        <f>IFERROR(IF(Y31=0,0, IF(Y31 / VLOOKUP(M31,'[1]CSBH THƯỞNG XE'!$U$3:$AA$1100,7,FALSE) &lt; 0.5,0,MIN((Y31 / VLOOKUP(M31,'[1]CSBH THƯỞNG XE'!$U$3:$AA$1100,7,FALSE)) * 20%,20%))),0)</f>
        <v>0</v>
      </c>
      <c r="BI31" s="263"/>
    </row>
    <row r="32" spans="1:61" ht="20.149999999999999" customHeight="1">
      <c r="A32" s="178">
        <v>46115</v>
      </c>
      <c r="B32" s="179">
        <f t="shared" si="2"/>
        <v>3</v>
      </c>
      <c r="C32" s="179">
        <f t="shared" si="3"/>
        <v>4</v>
      </c>
      <c r="D32" s="179">
        <f t="shared" si="4"/>
        <v>2026</v>
      </c>
      <c r="E32" s="178">
        <v>46122</v>
      </c>
      <c r="F32" s="26" t="s">
        <v>1046</v>
      </c>
      <c r="G32" s="27" t="s">
        <v>258</v>
      </c>
      <c r="H32" s="28" t="s">
        <v>200</v>
      </c>
      <c r="I32" s="28" t="s">
        <v>259</v>
      </c>
      <c r="J32" s="28" t="s">
        <v>1047</v>
      </c>
      <c r="K32" s="29"/>
      <c r="L32" s="29"/>
      <c r="M32" s="30" t="s">
        <v>125</v>
      </c>
      <c r="N32" s="30" t="s">
        <v>281</v>
      </c>
      <c r="O32" s="31" t="s">
        <v>196</v>
      </c>
      <c r="P32" s="32"/>
      <c r="Q32" s="180">
        <v>1</v>
      </c>
      <c r="R32" s="32" t="s">
        <v>489</v>
      </c>
      <c r="S32" s="33"/>
      <c r="T32" s="33"/>
      <c r="U32" s="33">
        <v>268954545</v>
      </c>
      <c r="V32" s="33"/>
      <c r="W32" s="34">
        <v>4000000</v>
      </c>
      <c r="X32" s="35"/>
      <c r="Y32" s="34"/>
      <c r="Z32" s="35"/>
      <c r="AA32" s="36">
        <v>0</v>
      </c>
      <c r="AB32" s="36">
        <f t="shared" si="5"/>
        <v>0</v>
      </c>
      <c r="AC32" s="37">
        <f t="shared" si="6"/>
        <v>0</v>
      </c>
      <c r="AD32" s="40">
        <f t="shared" si="11"/>
        <v>0</v>
      </c>
      <c r="AE32" s="37"/>
      <c r="AF32" s="37"/>
      <c r="AG32" s="37"/>
      <c r="AH32" s="33"/>
      <c r="AI32" s="38"/>
      <c r="AJ32" s="39"/>
      <c r="AK32" s="31" t="s">
        <v>250</v>
      </c>
      <c r="AL32" s="181">
        <f>IF(E32&gt;=DATE(2026,4,1),IF(OR($AK32="Khách hàng thông thường",$AK32="Khách hàng chuyển đổi xe xăng"),IFERROR(VLOOKUP($M32,'[1]CSBH THƯỞNG XE'!$U$3:$YY$800,3,0),0),IF($AK32="Khách hàng Khối Quân đội - Công An",IFERROR(VLOOKUP($M32,'[1]CSBH THƯỞNG XE'!$U$3:$X$600,4,0),0),IF($AK32="Khách hàng Giờ trái đất",IFERROR(VLOOKUP($M32,'[1]CSBH THƯỞNG XE'!$U$3:$Y$700,5,0),0),0))),0)</f>
        <v>7500000</v>
      </c>
      <c r="AM32" s="181"/>
      <c r="AN32" s="181"/>
      <c r="AO32" s="182">
        <f t="shared" si="12"/>
        <v>6000000</v>
      </c>
      <c r="AP32" s="182">
        <f t="shared" si="13"/>
        <v>6000000</v>
      </c>
      <c r="AQ32" s="183">
        <f t="shared" si="14"/>
        <v>6000000</v>
      </c>
      <c r="AR32" s="46">
        <f t="shared" si="7"/>
        <v>0</v>
      </c>
      <c r="AS32" s="46">
        <f t="shared" si="8"/>
        <v>0</v>
      </c>
      <c r="AT32" s="46">
        <v>0</v>
      </c>
      <c r="AU32" s="46">
        <v>4000000</v>
      </c>
      <c r="AV32" s="47"/>
      <c r="AW32" s="279"/>
      <c r="AX32" s="279"/>
      <c r="AZ32" s="280"/>
      <c r="BA32" s="281" t="s">
        <v>1983</v>
      </c>
      <c r="BB32" s="282">
        <f>VLOOKUP(H32,[1]NVKD!$C$1:$M$3296,11,0)</f>
        <v>3</v>
      </c>
      <c r="BC32" s="281" t="s">
        <v>1982</v>
      </c>
      <c r="BD32" s="283" t="str">
        <f t="shared" si="9"/>
        <v>Showroom 50 Nguyễn Văn Tăng</v>
      </c>
      <c r="BF32" s="284">
        <f t="shared" si="10"/>
        <v>0.2</v>
      </c>
      <c r="BG32" s="284">
        <f>IFERROR(IF(Y32=0,0, IF(Y32 / VLOOKUP(M32,'[1]CSBH THƯỞNG XE'!$U$3:$AA$1100,7,FALSE) &lt; 0.5,0,MIN((Y32 / VLOOKUP(M32,'[1]CSBH THƯỞNG XE'!$U$3:$AA$1100,7,FALSE)) * 20%,20%))),0)</f>
        <v>0</v>
      </c>
      <c r="BI32" s="263"/>
    </row>
    <row r="33" spans="1:61" ht="20.149999999999999" customHeight="1">
      <c r="A33" s="178">
        <v>46115</v>
      </c>
      <c r="B33" s="179">
        <f t="shared" si="2"/>
        <v>3</v>
      </c>
      <c r="C33" s="179">
        <f t="shared" si="3"/>
        <v>4</v>
      </c>
      <c r="D33" s="179">
        <f t="shared" si="4"/>
        <v>2026</v>
      </c>
      <c r="E33" s="178">
        <v>46122</v>
      </c>
      <c r="F33" s="26" t="s">
        <v>1048</v>
      </c>
      <c r="G33" s="27" t="s">
        <v>258</v>
      </c>
      <c r="H33" s="28" t="s">
        <v>187</v>
      </c>
      <c r="I33" s="28" t="s">
        <v>261</v>
      </c>
      <c r="J33" s="28" t="s">
        <v>1049</v>
      </c>
      <c r="K33" s="29"/>
      <c r="L33" s="29"/>
      <c r="M33" s="30" t="s">
        <v>114</v>
      </c>
      <c r="N33" s="30" t="s">
        <v>277</v>
      </c>
      <c r="O33" s="31" t="s">
        <v>114</v>
      </c>
      <c r="P33" s="32"/>
      <c r="Q33" s="180">
        <v>1</v>
      </c>
      <c r="R33" s="32" t="s">
        <v>497</v>
      </c>
      <c r="S33" s="33"/>
      <c r="T33" s="33"/>
      <c r="U33" s="33">
        <v>629145455</v>
      </c>
      <c r="V33" s="33"/>
      <c r="W33" s="34">
        <v>10886840</v>
      </c>
      <c r="X33" s="35"/>
      <c r="Y33" s="34"/>
      <c r="Z33" s="35"/>
      <c r="AA33" s="36">
        <v>12000000</v>
      </c>
      <c r="AB33" s="36">
        <f t="shared" si="5"/>
        <v>12000000</v>
      </c>
      <c r="AC33" s="37">
        <f t="shared" si="6"/>
        <v>12000000</v>
      </c>
      <c r="AD33" s="40">
        <f t="shared" si="11"/>
        <v>12000000</v>
      </c>
      <c r="AE33" s="37"/>
      <c r="AF33" s="37"/>
      <c r="AG33" s="37"/>
      <c r="AH33" s="33"/>
      <c r="AI33" s="38"/>
      <c r="AJ33" s="39"/>
      <c r="AK33" s="31" t="s">
        <v>250</v>
      </c>
      <c r="AL33" s="181">
        <f>IF(E33&gt;=DATE(2026,4,1),IF(OR($AK33="Khách hàng thông thường",$AK33="Khách hàng chuyển đổi xe xăng"),IFERROR(VLOOKUP($M33,'[1]CSBH THƯỞNG XE'!$U$3:$YY$800,3,0),0),IF($AK33="Khách hàng Khối Quân đội - Công An",IFERROR(VLOOKUP($M33,'[1]CSBH THƯỞNG XE'!$U$3:$X$600,4,0),0),IF($AK33="Khách hàng Giờ trái đất",IFERROR(VLOOKUP($M33,'[1]CSBH THƯỞNG XE'!$U$3:$Y$700,5,0),0),0))),0)</f>
        <v>19000000</v>
      </c>
      <c r="AM33" s="181"/>
      <c r="AN33" s="181"/>
      <c r="AO33" s="182">
        <f t="shared" si="12"/>
        <v>5600000</v>
      </c>
      <c r="AP33" s="182">
        <f t="shared" si="13"/>
        <v>5600000</v>
      </c>
      <c r="AQ33" s="183">
        <f t="shared" si="14"/>
        <v>8600000</v>
      </c>
      <c r="AR33" s="46">
        <f t="shared" si="7"/>
        <v>0</v>
      </c>
      <c r="AS33" s="46">
        <f t="shared" si="8"/>
        <v>3000000</v>
      </c>
      <c r="AT33" s="46">
        <v>0</v>
      </c>
      <c r="AU33" s="46">
        <v>0</v>
      </c>
      <c r="AV33" s="47"/>
      <c r="AW33" s="279"/>
      <c r="AX33" s="279"/>
      <c r="AZ33" s="280"/>
      <c r="BA33" s="281" t="s">
        <v>1983</v>
      </c>
      <c r="BB33" s="282">
        <f>VLOOKUP(H33,[1]NVKD!$C$1:$M$3296,11,0)</f>
        <v>8</v>
      </c>
      <c r="BC33" s="281" t="s">
        <v>1982</v>
      </c>
      <c r="BD33" s="283" t="str">
        <f t="shared" si="9"/>
        <v>Showroom 50 Nguyễn Văn Tăng</v>
      </c>
      <c r="BF33" s="284">
        <f t="shared" si="10"/>
        <v>0.2</v>
      </c>
      <c r="BG33" s="284">
        <f>IFERROR(IF(Y33=0,0, IF(Y33 / VLOOKUP(M33,'[1]CSBH THƯỞNG XE'!$U$3:$AA$1100,7,FALSE) &lt; 0.5,0,MIN((Y33 / VLOOKUP(M33,'[1]CSBH THƯỞNG XE'!$U$3:$AA$1100,7,FALSE)) * 20%,20%))),0)</f>
        <v>0</v>
      </c>
      <c r="BI33" s="263"/>
    </row>
    <row r="34" spans="1:61" ht="20.149999999999999" customHeight="1">
      <c r="A34" s="178">
        <v>46111</v>
      </c>
      <c r="B34" s="179">
        <f t="shared" si="2"/>
        <v>30</v>
      </c>
      <c r="C34" s="179">
        <f t="shared" si="3"/>
        <v>3</v>
      </c>
      <c r="D34" s="179">
        <f t="shared" si="4"/>
        <v>2026</v>
      </c>
      <c r="E34" s="178">
        <v>46122</v>
      </c>
      <c r="F34" s="26" t="s">
        <v>1050</v>
      </c>
      <c r="G34" s="27" t="s">
        <v>258</v>
      </c>
      <c r="H34" s="28" t="s">
        <v>144</v>
      </c>
      <c r="I34" s="28" t="s">
        <v>261</v>
      </c>
      <c r="J34" s="28" t="s">
        <v>1051</v>
      </c>
      <c r="K34" s="29"/>
      <c r="L34" s="29"/>
      <c r="M34" s="30" t="s">
        <v>114</v>
      </c>
      <c r="N34" s="30" t="s">
        <v>255</v>
      </c>
      <c r="O34" s="31" t="s">
        <v>114</v>
      </c>
      <c r="P34" s="32"/>
      <c r="Q34" s="180">
        <v>1</v>
      </c>
      <c r="R34" s="32" t="s">
        <v>505</v>
      </c>
      <c r="S34" s="33"/>
      <c r="T34" s="33"/>
      <c r="U34" s="33">
        <v>640054545</v>
      </c>
      <c r="V34" s="33"/>
      <c r="W34" s="34">
        <v>9856840</v>
      </c>
      <c r="X34" s="35"/>
      <c r="Y34" s="34"/>
      <c r="Z34" s="35"/>
      <c r="AA34" s="36">
        <v>0</v>
      </c>
      <c r="AB34" s="36">
        <f t="shared" si="5"/>
        <v>0</v>
      </c>
      <c r="AC34" s="37">
        <f t="shared" si="6"/>
        <v>0</v>
      </c>
      <c r="AD34" s="40">
        <f t="shared" si="11"/>
        <v>0</v>
      </c>
      <c r="AE34" s="37"/>
      <c r="AF34" s="37"/>
      <c r="AG34" s="37"/>
      <c r="AH34" s="33"/>
      <c r="AI34" s="38"/>
      <c r="AJ34" s="39"/>
      <c r="AK34" s="31" t="s">
        <v>250</v>
      </c>
      <c r="AL34" s="181">
        <f>IF(E34&gt;=DATE(2026,4,1),IF(OR($AK34="Khách hàng thông thường",$AK34="Khách hàng chuyển đổi xe xăng"),IFERROR(VLOOKUP($M34,'[1]CSBH THƯỞNG XE'!$U$3:$YY$800,3,0),0),IF($AK34="Khách hàng Khối Quân đội - Công An",IFERROR(VLOOKUP($M34,'[1]CSBH THƯỞNG XE'!$U$3:$X$600,4,0),0),IF($AK34="Khách hàng Giờ trái đất",IFERROR(VLOOKUP($M34,'[1]CSBH THƯỞNG XE'!$U$3:$Y$700,5,0),0),0))),0)</f>
        <v>19000000</v>
      </c>
      <c r="AM34" s="181"/>
      <c r="AN34" s="181"/>
      <c r="AO34" s="182">
        <f t="shared" si="12"/>
        <v>15200000</v>
      </c>
      <c r="AP34" s="182">
        <f t="shared" si="13"/>
        <v>15200000</v>
      </c>
      <c r="AQ34" s="183">
        <f t="shared" si="14"/>
        <v>15200000</v>
      </c>
      <c r="AR34" s="46">
        <f t="shared" si="7"/>
        <v>0</v>
      </c>
      <c r="AS34" s="46">
        <f t="shared" si="8"/>
        <v>0</v>
      </c>
      <c r="AT34" s="46">
        <v>0</v>
      </c>
      <c r="AU34" s="46">
        <v>9856840</v>
      </c>
      <c r="AV34" s="47"/>
      <c r="AW34" s="279"/>
      <c r="AX34" s="279"/>
      <c r="AZ34" s="280"/>
      <c r="BA34" s="281" t="s">
        <v>1983</v>
      </c>
      <c r="BB34" s="282">
        <f>VLOOKUP(H34,[1]NVKD!$C$1:$M$3296,11,0)</f>
        <v>4</v>
      </c>
      <c r="BC34" s="281" t="s">
        <v>1982</v>
      </c>
      <c r="BD34" s="283" t="str">
        <f t="shared" si="9"/>
        <v>Showroom 50 Nguyễn Văn Tăng</v>
      </c>
      <c r="BF34" s="284">
        <f t="shared" si="10"/>
        <v>0.2</v>
      </c>
      <c r="BG34" s="284">
        <f>IFERROR(IF(Y34=0,0, IF(Y34 / VLOOKUP(M34,'[1]CSBH THƯỞNG XE'!$U$3:$AA$1100,7,FALSE) &lt; 0.5,0,MIN((Y34 / VLOOKUP(M34,'[1]CSBH THƯỞNG XE'!$U$3:$AA$1100,7,FALSE)) * 20%,20%))),0)</f>
        <v>0</v>
      </c>
      <c r="BI34" s="263"/>
    </row>
    <row r="35" spans="1:61" ht="20.149999999999999" customHeight="1">
      <c r="A35" s="178">
        <v>46110</v>
      </c>
      <c r="B35" s="179">
        <f t="shared" si="2"/>
        <v>29</v>
      </c>
      <c r="C35" s="179">
        <f t="shared" si="3"/>
        <v>3</v>
      </c>
      <c r="D35" s="179">
        <f t="shared" si="4"/>
        <v>2026</v>
      </c>
      <c r="E35" s="178">
        <v>46122</v>
      </c>
      <c r="F35" s="26" t="s">
        <v>1052</v>
      </c>
      <c r="G35" s="27" t="s">
        <v>258</v>
      </c>
      <c r="H35" s="28" t="s">
        <v>139</v>
      </c>
      <c r="I35" s="28" t="s">
        <v>259</v>
      </c>
      <c r="J35" s="28" t="s">
        <v>1053</v>
      </c>
      <c r="K35" s="29"/>
      <c r="L35" s="29"/>
      <c r="M35" s="30" t="s">
        <v>110</v>
      </c>
      <c r="N35" s="30" t="s">
        <v>260</v>
      </c>
      <c r="O35" s="31" t="s">
        <v>140</v>
      </c>
      <c r="P35" s="32"/>
      <c r="Q35" s="180">
        <v>1</v>
      </c>
      <c r="R35" s="32" t="s">
        <v>493</v>
      </c>
      <c r="S35" s="33"/>
      <c r="T35" s="33"/>
      <c r="U35" s="33">
        <v>442963636</v>
      </c>
      <c r="V35" s="33"/>
      <c r="W35" s="34">
        <v>7663240</v>
      </c>
      <c r="X35" s="35"/>
      <c r="Y35" s="34"/>
      <c r="Z35" s="35"/>
      <c r="AA35" s="36">
        <v>10000000</v>
      </c>
      <c r="AB35" s="36">
        <f t="shared" si="5"/>
        <v>10000000</v>
      </c>
      <c r="AC35" s="37">
        <f t="shared" si="6"/>
        <v>10000000</v>
      </c>
      <c r="AD35" s="40">
        <f t="shared" si="11"/>
        <v>10000000</v>
      </c>
      <c r="AE35" s="37"/>
      <c r="AF35" s="37"/>
      <c r="AG35" s="37"/>
      <c r="AH35" s="33"/>
      <c r="AI35" s="38"/>
      <c r="AJ35" s="39"/>
      <c r="AK35" s="31" t="s">
        <v>250</v>
      </c>
      <c r="AL35" s="181">
        <f>IF(E35&gt;=DATE(2026,4,1),IF(OR($AK35="Khách hàng thông thường",$AK35="Khách hàng chuyển đổi xe xăng"),IFERROR(VLOOKUP($M35,'[1]CSBH THƯỞNG XE'!$U$3:$YY$800,3,0),0),IF($AK35="Khách hàng Khối Quân đội - Công An",IFERROR(VLOOKUP($M35,'[1]CSBH THƯỞNG XE'!$U$3:$X$600,4,0),0),IF($AK35="Khách hàng Giờ trái đất",IFERROR(VLOOKUP($M35,'[1]CSBH THƯỞNG XE'!$U$3:$Y$700,5,0),0),0))),0)</f>
        <v>16000000</v>
      </c>
      <c r="AM35" s="181"/>
      <c r="AN35" s="181"/>
      <c r="AO35" s="182">
        <f t="shared" si="12"/>
        <v>4800000</v>
      </c>
      <c r="AP35" s="182">
        <f t="shared" si="13"/>
        <v>4800000</v>
      </c>
      <c r="AQ35" s="183">
        <f t="shared" si="14"/>
        <v>4800000</v>
      </c>
      <c r="AR35" s="46">
        <f t="shared" si="7"/>
        <v>0</v>
      </c>
      <c r="AS35" s="46">
        <f t="shared" si="8"/>
        <v>0</v>
      </c>
      <c r="AT35" s="46">
        <v>0</v>
      </c>
      <c r="AU35" s="46">
        <v>0</v>
      </c>
      <c r="AV35" s="47"/>
      <c r="AW35" s="279"/>
      <c r="AX35" s="279"/>
      <c r="AZ35" s="280"/>
      <c r="BA35" s="281" t="s">
        <v>1983</v>
      </c>
      <c r="BB35" s="282">
        <f>VLOOKUP(H35,[1]NVKD!$C$1:$M$3296,11,0)</f>
        <v>8</v>
      </c>
      <c r="BC35" s="281" t="s">
        <v>1982</v>
      </c>
      <c r="BD35" s="283" t="str">
        <f t="shared" si="9"/>
        <v>Showroom 50 Nguyễn Văn Tăng</v>
      </c>
      <c r="BF35" s="284">
        <f t="shared" si="10"/>
        <v>0.2</v>
      </c>
      <c r="BG35" s="284">
        <f>IFERROR(IF(Y35=0,0, IF(Y35 / VLOOKUP(M35,'[1]CSBH THƯỞNG XE'!$U$3:$AA$1100,7,FALSE) &lt; 0.5,0,MIN((Y35 / VLOOKUP(M35,'[1]CSBH THƯỞNG XE'!$U$3:$AA$1100,7,FALSE)) * 20%,20%))),0)</f>
        <v>0</v>
      </c>
      <c r="BI35" s="263"/>
    </row>
    <row r="36" spans="1:61" ht="20.149999999999999" customHeight="1">
      <c r="A36" s="178">
        <v>46109</v>
      </c>
      <c r="B36" s="179">
        <f t="shared" si="2"/>
        <v>28</v>
      </c>
      <c r="C36" s="179">
        <f t="shared" si="3"/>
        <v>3</v>
      </c>
      <c r="D36" s="179">
        <f t="shared" si="4"/>
        <v>2026</v>
      </c>
      <c r="E36" s="178">
        <v>46125</v>
      </c>
      <c r="F36" s="26" t="s">
        <v>1054</v>
      </c>
      <c r="G36" s="27" t="s">
        <v>254</v>
      </c>
      <c r="H36" s="28" t="s">
        <v>131</v>
      </c>
      <c r="I36" s="28" t="s">
        <v>169</v>
      </c>
      <c r="J36" s="28" t="s">
        <v>424</v>
      </c>
      <c r="K36" s="29"/>
      <c r="L36" s="29"/>
      <c r="M36" s="30" t="s">
        <v>276</v>
      </c>
      <c r="N36" s="30" t="s">
        <v>255</v>
      </c>
      <c r="O36" s="31" t="s">
        <v>105</v>
      </c>
      <c r="P36" s="32"/>
      <c r="Q36" s="180">
        <v>1</v>
      </c>
      <c r="R36" s="32" t="s">
        <v>426</v>
      </c>
      <c r="S36" s="33"/>
      <c r="T36" s="33"/>
      <c r="U36" s="33">
        <v>632090909</v>
      </c>
      <c r="V36" s="33"/>
      <c r="W36" s="34"/>
      <c r="X36" s="35"/>
      <c r="Y36" s="34"/>
      <c r="Z36" s="35"/>
      <c r="AA36" s="36">
        <v>5000000</v>
      </c>
      <c r="AB36" s="36">
        <f t="shared" si="5"/>
        <v>5000000</v>
      </c>
      <c r="AC36" s="37">
        <f t="shared" si="6"/>
        <v>5000000</v>
      </c>
      <c r="AD36" s="40">
        <f t="shared" si="11"/>
        <v>5000000</v>
      </c>
      <c r="AE36" s="37"/>
      <c r="AF36" s="37"/>
      <c r="AG36" s="37"/>
      <c r="AH36" s="33"/>
      <c r="AI36" s="38"/>
      <c r="AJ36" s="39"/>
      <c r="AK36" s="31" t="s">
        <v>250</v>
      </c>
      <c r="AL36" s="181">
        <f>IF(E36&gt;=DATE(2026,4,1),IF(OR($AK36="Khách hàng thông thường",$AK36="Khách hàng chuyển đổi xe xăng"),IFERROR(VLOOKUP($M36,'[1]CSBH THƯỞNG XE'!$U$3:$YY$800,3,0),0),IF($AK36="Khách hàng Khối Quân đội - Công An",IFERROR(VLOOKUP($M36,'[1]CSBH THƯỞNG XE'!$U$3:$X$600,4,0),0),IF($AK36="Khách hàng Giờ trái đất",IFERROR(VLOOKUP($M36,'[1]CSBH THƯỞNG XE'!$U$3:$Y$700,5,0),0),0))),0)</f>
        <v>20000000</v>
      </c>
      <c r="AM36" s="181"/>
      <c r="AN36" s="181"/>
      <c r="AO36" s="182">
        <f t="shared" si="12"/>
        <v>12000000</v>
      </c>
      <c r="AP36" s="182">
        <f t="shared" si="13"/>
        <v>12000000</v>
      </c>
      <c r="AQ36" s="183">
        <f t="shared" si="14"/>
        <v>12000000</v>
      </c>
      <c r="AR36" s="46">
        <f t="shared" si="7"/>
        <v>0</v>
      </c>
      <c r="AS36" s="46">
        <f t="shared" si="8"/>
        <v>0</v>
      </c>
      <c r="AT36" s="46">
        <v>0</v>
      </c>
      <c r="AU36" s="46">
        <v>0</v>
      </c>
      <c r="AV36" s="47"/>
      <c r="AW36" s="279"/>
      <c r="AX36" s="279"/>
      <c r="AZ36" s="280"/>
      <c r="BA36" s="281">
        <v>0</v>
      </c>
      <c r="BB36" s="282">
        <f>VLOOKUP(H36,[1]NVKD!$C$1:$M$3296,11,0)</f>
        <v>3</v>
      </c>
      <c r="BC36" s="281" t="s">
        <v>1984</v>
      </c>
      <c r="BD36" s="283" t="str">
        <f t="shared" si="9"/>
        <v>Showroom Sala</v>
      </c>
      <c r="BF36" s="284">
        <f t="shared" si="10"/>
        <v>0.2</v>
      </c>
      <c r="BG36" s="284">
        <f>IFERROR(IF(Y36=0,0, IF(Y36 / VLOOKUP(M36,'[1]CSBH THƯỞNG XE'!$U$3:$AA$1100,7,FALSE) &lt; 0.5,0,MIN((Y36 / VLOOKUP(M36,'[1]CSBH THƯỞNG XE'!$U$3:$AA$1100,7,FALSE)) * 20%,20%))),0)</f>
        <v>0</v>
      </c>
      <c r="BI36" s="263"/>
    </row>
    <row r="37" spans="1:61" ht="20.149999999999999" customHeight="1">
      <c r="A37" s="178">
        <v>46098</v>
      </c>
      <c r="B37" s="179">
        <f t="shared" si="2"/>
        <v>17</v>
      </c>
      <c r="C37" s="179">
        <f t="shared" si="3"/>
        <v>3</v>
      </c>
      <c r="D37" s="179">
        <f t="shared" si="4"/>
        <v>2026</v>
      </c>
      <c r="E37" s="178">
        <v>46125</v>
      </c>
      <c r="F37" s="26" t="s">
        <v>1055</v>
      </c>
      <c r="G37" s="27" t="s">
        <v>251</v>
      </c>
      <c r="H37" s="28" t="s">
        <v>101</v>
      </c>
      <c r="I37" s="28" t="s">
        <v>252</v>
      </c>
      <c r="J37" s="28" t="s">
        <v>417</v>
      </c>
      <c r="K37" s="29"/>
      <c r="L37" s="29"/>
      <c r="M37" s="30" t="s">
        <v>56</v>
      </c>
      <c r="N37" s="30" t="s">
        <v>255</v>
      </c>
      <c r="O37" s="31" t="s">
        <v>105</v>
      </c>
      <c r="P37" s="32"/>
      <c r="Q37" s="180">
        <v>1</v>
      </c>
      <c r="R37" s="32" t="s">
        <v>419</v>
      </c>
      <c r="S37" s="33"/>
      <c r="T37" s="33"/>
      <c r="U37" s="33">
        <v>269181818</v>
      </c>
      <c r="V37" s="33"/>
      <c r="W37" s="34"/>
      <c r="X37" s="35"/>
      <c r="Y37" s="34"/>
      <c r="Z37" s="35"/>
      <c r="AA37" s="36">
        <v>0</v>
      </c>
      <c r="AB37" s="36">
        <f t="shared" si="5"/>
        <v>0</v>
      </c>
      <c r="AC37" s="37">
        <f t="shared" si="6"/>
        <v>0</v>
      </c>
      <c r="AD37" s="40">
        <f t="shared" si="11"/>
        <v>0</v>
      </c>
      <c r="AE37" s="37"/>
      <c r="AF37" s="37"/>
      <c r="AG37" s="37"/>
      <c r="AH37" s="33"/>
      <c r="AI37" s="38"/>
      <c r="AJ37" s="39"/>
      <c r="AK37" s="31" t="s">
        <v>250</v>
      </c>
      <c r="AL37" s="181">
        <f>IF(E37&gt;=DATE(2026,4,1),IF(OR($AK37="Khách hàng thông thường",$AK37="Khách hàng chuyển đổi xe xăng"),IFERROR(VLOOKUP($M37,'[1]CSBH THƯỞNG XE'!$U$3:$YY$800,3,0),0),IF($AK37="Khách hàng Khối Quân đội - Công An",IFERROR(VLOOKUP($M37,'[1]CSBH THƯỞNG XE'!$U$3:$X$600,4,0),0),IF($AK37="Khách hàng Giờ trái đất",IFERROR(VLOOKUP($M37,'[1]CSBH THƯỞNG XE'!$U$3:$Y$700,5,0),0),0))),0)</f>
        <v>8500000</v>
      </c>
      <c r="AM37" s="181"/>
      <c r="AN37" s="181"/>
      <c r="AO37" s="182">
        <f t="shared" si="12"/>
        <v>6800000</v>
      </c>
      <c r="AP37" s="182">
        <f t="shared" si="13"/>
        <v>6800000</v>
      </c>
      <c r="AQ37" s="183">
        <f t="shared" si="14"/>
        <v>6800000</v>
      </c>
      <c r="AR37" s="46">
        <f t="shared" si="7"/>
        <v>0</v>
      </c>
      <c r="AS37" s="46">
        <f t="shared" si="8"/>
        <v>0</v>
      </c>
      <c r="AT37" s="46">
        <v>0</v>
      </c>
      <c r="AU37" s="46">
        <v>0</v>
      </c>
      <c r="AV37" s="47"/>
      <c r="AW37" s="279"/>
      <c r="AX37" s="279"/>
      <c r="AZ37" s="280"/>
      <c r="BA37" s="281" t="s">
        <v>1981</v>
      </c>
      <c r="BB37" s="282">
        <f>VLOOKUP(H37,[1]NVKD!$C$1:$M$3296,11,0)</f>
        <v>2</v>
      </c>
      <c r="BC37" s="281" t="s">
        <v>1984</v>
      </c>
      <c r="BD37" s="283" t="str">
        <f t="shared" si="9"/>
        <v>Showroom Tân An</v>
      </c>
      <c r="BF37" s="284">
        <f t="shared" si="10"/>
        <v>0.2</v>
      </c>
      <c r="BG37" s="284">
        <f>IFERROR(IF(Y37=0,0, IF(Y37 / VLOOKUP(M37,'[1]CSBH THƯỞNG XE'!$U$3:$AA$1100,7,FALSE) &lt; 0.5,0,MIN((Y37 / VLOOKUP(M37,'[1]CSBH THƯỞNG XE'!$U$3:$AA$1100,7,FALSE)) * 20%,20%))),0)</f>
        <v>0</v>
      </c>
      <c r="BI37" s="263"/>
    </row>
    <row r="38" spans="1:61" ht="20.149999999999999" customHeight="1">
      <c r="A38" s="178">
        <v>46118</v>
      </c>
      <c r="B38" s="179">
        <f t="shared" si="2"/>
        <v>6</v>
      </c>
      <c r="C38" s="179">
        <f t="shared" si="3"/>
        <v>4</v>
      </c>
      <c r="D38" s="179">
        <f t="shared" si="4"/>
        <v>2026</v>
      </c>
      <c r="E38" s="178">
        <v>46125</v>
      </c>
      <c r="F38" s="26" t="s">
        <v>1056</v>
      </c>
      <c r="G38" s="27" t="s">
        <v>254</v>
      </c>
      <c r="H38" s="28" t="s">
        <v>128</v>
      </c>
      <c r="I38" s="28"/>
      <c r="J38" s="28" t="s">
        <v>1057</v>
      </c>
      <c r="K38" s="29"/>
      <c r="L38" s="29"/>
      <c r="M38" s="30" t="s">
        <v>114</v>
      </c>
      <c r="N38" s="30" t="s">
        <v>248</v>
      </c>
      <c r="O38" s="31" t="s">
        <v>114</v>
      </c>
      <c r="P38" s="32"/>
      <c r="Q38" s="180">
        <v>1</v>
      </c>
      <c r="R38" s="32" t="s">
        <v>422</v>
      </c>
      <c r="S38" s="33"/>
      <c r="T38" s="33"/>
      <c r="U38" s="33">
        <v>629145455</v>
      </c>
      <c r="V38" s="33"/>
      <c r="W38" s="34">
        <v>10886840</v>
      </c>
      <c r="X38" s="35"/>
      <c r="Y38" s="34"/>
      <c r="Z38" s="35"/>
      <c r="AA38" s="36">
        <v>12000000</v>
      </c>
      <c r="AB38" s="36">
        <f t="shared" si="5"/>
        <v>12000000</v>
      </c>
      <c r="AC38" s="37">
        <f t="shared" si="6"/>
        <v>12000000</v>
      </c>
      <c r="AD38" s="40">
        <f t="shared" si="11"/>
        <v>12000000</v>
      </c>
      <c r="AE38" s="37"/>
      <c r="AF38" s="37"/>
      <c r="AG38" s="37"/>
      <c r="AH38" s="33"/>
      <c r="AI38" s="38"/>
      <c r="AJ38" s="39"/>
      <c r="AK38" s="31" t="s">
        <v>250</v>
      </c>
      <c r="AL38" s="181">
        <f>IF(E38&gt;=DATE(2026,4,1),IF(OR($AK38="Khách hàng thông thường",$AK38="Khách hàng chuyển đổi xe xăng"),IFERROR(VLOOKUP($M38,'[1]CSBH THƯỞNG XE'!$U$3:$YY$800,3,0),0),IF($AK38="Khách hàng Khối Quân đội - Công An",IFERROR(VLOOKUP($M38,'[1]CSBH THƯỞNG XE'!$U$3:$X$600,4,0),0),IF($AK38="Khách hàng Giờ trái đất",IFERROR(VLOOKUP($M38,'[1]CSBH THƯỞNG XE'!$U$3:$Y$700,5,0),0),0))),0)</f>
        <v>19000000</v>
      </c>
      <c r="AM38" s="181"/>
      <c r="AN38" s="181"/>
      <c r="AO38" s="182">
        <f t="shared" si="12"/>
        <v>5600000</v>
      </c>
      <c r="AP38" s="182">
        <f t="shared" si="13"/>
        <v>5600000</v>
      </c>
      <c r="AQ38" s="183">
        <f t="shared" si="14"/>
        <v>8600000</v>
      </c>
      <c r="AR38" s="46">
        <f t="shared" si="7"/>
        <v>0</v>
      </c>
      <c r="AS38" s="46">
        <f t="shared" si="8"/>
        <v>3000000</v>
      </c>
      <c r="AT38" s="46">
        <v>0</v>
      </c>
      <c r="AU38" s="46">
        <v>10886840</v>
      </c>
      <c r="AV38" s="47"/>
      <c r="AW38" s="279"/>
      <c r="AX38" s="279"/>
      <c r="AZ38" s="280"/>
      <c r="BA38" s="281">
        <v>0</v>
      </c>
      <c r="BB38" s="282">
        <f>VLOOKUP(H38,[1]NVKD!$C$1:$M$3296,11,0)</f>
        <v>2</v>
      </c>
      <c r="BC38" s="281" t="s">
        <v>1982</v>
      </c>
      <c r="BD38" s="283" t="str">
        <f t="shared" si="9"/>
        <v>Showroom Sala</v>
      </c>
      <c r="BF38" s="284">
        <f t="shared" si="10"/>
        <v>0.2</v>
      </c>
      <c r="BG38" s="284">
        <f>IFERROR(IF(Y38=0,0, IF(Y38 / VLOOKUP(M38,'[1]CSBH THƯỞNG XE'!$U$3:$AA$1100,7,FALSE) &lt; 0.5,0,MIN((Y38 / VLOOKUP(M38,'[1]CSBH THƯỞNG XE'!$U$3:$AA$1100,7,FALSE)) * 20%,20%))),0)</f>
        <v>0</v>
      </c>
      <c r="BI38" s="263"/>
    </row>
    <row r="39" spans="1:61" ht="20.149999999999999" customHeight="1">
      <c r="A39" s="178">
        <v>46107</v>
      </c>
      <c r="B39" s="179">
        <f t="shared" si="2"/>
        <v>26</v>
      </c>
      <c r="C39" s="179">
        <f t="shared" si="3"/>
        <v>3</v>
      </c>
      <c r="D39" s="179">
        <f t="shared" si="4"/>
        <v>2026</v>
      </c>
      <c r="E39" s="178">
        <v>46125</v>
      </c>
      <c r="F39" s="26" t="s">
        <v>1058</v>
      </c>
      <c r="G39" s="27" t="s">
        <v>258</v>
      </c>
      <c r="H39" s="28" t="s">
        <v>139</v>
      </c>
      <c r="I39" s="28" t="s">
        <v>259</v>
      </c>
      <c r="J39" s="28" t="s">
        <v>1059</v>
      </c>
      <c r="K39" s="29"/>
      <c r="L39" s="29"/>
      <c r="M39" s="30" t="s">
        <v>55</v>
      </c>
      <c r="N39" s="30" t="s">
        <v>260</v>
      </c>
      <c r="O39" s="31" t="s">
        <v>191</v>
      </c>
      <c r="P39" s="32"/>
      <c r="Q39" s="180">
        <v>1</v>
      </c>
      <c r="R39" s="32" t="s">
        <v>511</v>
      </c>
      <c r="S39" s="33"/>
      <c r="T39" s="33"/>
      <c r="U39" s="33">
        <v>258072727</v>
      </c>
      <c r="V39" s="33"/>
      <c r="W39" s="34">
        <v>6055960</v>
      </c>
      <c r="X39" s="35"/>
      <c r="Y39" s="34"/>
      <c r="Z39" s="35"/>
      <c r="AA39" s="36">
        <v>0</v>
      </c>
      <c r="AB39" s="36">
        <f t="shared" si="5"/>
        <v>0</v>
      </c>
      <c r="AC39" s="37">
        <f t="shared" si="6"/>
        <v>0</v>
      </c>
      <c r="AD39" s="40">
        <f t="shared" si="11"/>
        <v>0</v>
      </c>
      <c r="AE39" s="37"/>
      <c r="AF39" s="37"/>
      <c r="AG39" s="37"/>
      <c r="AH39" s="33"/>
      <c r="AI39" s="38"/>
      <c r="AJ39" s="39"/>
      <c r="AK39" s="31" t="s">
        <v>250</v>
      </c>
      <c r="AL39" s="181">
        <f>IF(E39&gt;=DATE(2026,4,1),IF(OR($AK39="Khách hàng thông thường",$AK39="Khách hàng chuyển đổi xe xăng"),IFERROR(VLOOKUP($M39,'[1]CSBH THƯỞNG XE'!$U$3:$YY$800,3,0),0),IF($AK39="Khách hàng Khối Quân đội - Công An",IFERROR(VLOOKUP($M39,'[1]CSBH THƯỞNG XE'!$U$3:$X$600,4,0),0),IF($AK39="Khách hàng Giờ trái đất",IFERROR(VLOOKUP($M39,'[1]CSBH THƯỞNG XE'!$U$3:$Y$700,5,0),0),0))),0)</f>
        <v>8000000</v>
      </c>
      <c r="AM39" s="181"/>
      <c r="AN39" s="181"/>
      <c r="AO39" s="182">
        <f t="shared" si="12"/>
        <v>6400000</v>
      </c>
      <c r="AP39" s="182">
        <f t="shared" si="13"/>
        <v>6400000</v>
      </c>
      <c r="AQ39" s="183">
        <f t="shared" si="14"/>
        <v>6400000</v>
      </c>
      <c r="AR39" s="46">
        <f t="shared" si="7"/>
        <v>0</v>
      </c>
      <c r="AS39" s="46">
        <f t="shared" si="8"/>
        <v>0</v>
      </c>
      <c r="AT39" s="46">
        <v>0</v>
      </c>
      <c r="AU39" s="46">
        <v>0</v>
      </c>
      <c r="AV39" s="47"/>
      <c r="AW39" s="279"/>
      <c r="AX39" s="279"/>
      <c r="AZ39" s="280"/>
      <c r="BA39" s="281" t="s">
        <v>1981</v>
      </c>
      <c r="BB39" s="282">
        <f>VLOOKUP(H39,[1]NVKD!$C$1:$M$3296,11,0)</f>
        <v>8</v>
      </c>
      <c r="BC39" s="281" t="s">
        <v>1984</v>
      </c>
      <c r="BD39" s="283" t="str">
        <f t="shared" si="9"/>
        <v>Showroom 50 Nguyễn Văn Tăng</v>
      </c>
      <c r="BF39" s="284">
        <f t="shared" si="10"/>
        <v>0.2</v>
      </c>
      <c r="BG39" s="284">
        <f>IFERROR(IF(Y39=0,0, IF(Y39 / VLOOKUP(M39,'[1]CSBH THƯỞNG XE'!$U$3:$AA$1100,7,FALSE) &lt; 0.5,0,MIN((Y39 / VLOOKUP(M39,'[1]CSBH THƯỞNG XE'!$U$3:$AA$1100,7,FALSE)) * 20%,20%))),0)</f>
        <v>0</v>
      </c>
      <c r="BI39" s="263"/>
    </row>
    <row r="40" spans="1:61" ht="20.149999999999999" customHeight="1">
      <c r="A40" s="178">
        <v>46111</v>
      </c>
      <c r="B40" s="179">
        <f t="shared" si="2"/>
        <v>30</v>
      </c>
      <c r="C40" s="179">
        <f t="shared" si="3"/>
        <v>3</v>
      </c>
      <c r="D40" s="179">
        <f t="shared" si="4"/>
        <v>2026</v>
      </c>
      <c r="E40" s="178">
        <v>46125</v>
      </c>
      <c r="F40" s="26" t="s">
        <v>1060</v>
      </c>
      <c r="G40" s="27" t="s">
        <v>246</v>
      </c>
      <c r="H40" s="28" t="s">
        <v>116</v>
      </c>
      <c r="I40" s="28" t="s">
        <v>247</v>
      </c>
      <c r="J40" s="28" t="s">
        <v>641</v>
      </c>
      <c r="K40" s="29"/>
      <c r="L40" s="29"/>
      <c r="M40" s="30" t="s">
        <v>55</v>
      </c>
      <c r="N40" s="30" t="s">
        <v>256</v>
      </c>
      <c r="O40" s="31" t="s">
        <v>130</v>
      </c>
      <c r="P40" s="32"/>
      <c r="Q40" s="180">
        <v>1</v>
      </c>
      <c r="R40" s="32" t="s">
        <v>643</v>
      </c>
      <c r="S40" s="33"/>
      <c r="T40" s="33"/>
      <c r="U40" s="33">
        <v>248545455</v>
      </c>
      <c r="V40" s="33"/>
      <c r="W40" s="34"/>
      <c r="X40" s="35"/>
      <c r="Y40" s="34"/>
      <c r="Z40" s="35"/>
      <c r="AA40" s="36">
        <v>0</v>
      </c>
      <c r="AB40" s="36">
        <f t="shared" si="5"/>
        <v>0</v>
      </c>
      <c r="AC40" s="37">
        <f t="shared" si="6"/>
        <v>0</v>
      </c>
      <c r="AD40" s="40">
        <f t="shared" si="11"/>
        <v>0</v>
      </c>
      <c r="AE40" s="37"/>
      <c r="AF40" s="37"/>
      <c r="AG40" s="37"/>
      <c r="AH40" s="33"/>
      <c r="AI40" s="38"/>
      <c r="AJ40" s="39"/>
      <c r="AK40" s="31" t="s">
        <v>250</v>
      </c>
      <c r="AL40" s="181">
        <f>IF(E40&gt;=DATE(2026,4,1),IF(OR($AK40="Khách hàng thông thường",$AK40="Khách hàng chuyển đổi xe xăng"),IFERROR(VLOOKUP($M40,'[1]CSBH THƯỞNG XE'!$U$3:$YY$800,3,0),0),IF($AK40="Khách hàng Khối Quân đội - Công An",IFERROR(VLOOKUP($M40,'[1]CSBH THƯỞNG XE'!$U$3:$X$600,4,0),0),IF($AK40="Khách hàng Giờ trái đất",IFERROR(VLOOKUP($M40,'[1]CSBH THƯỞNG XE'!$U$3:$Y$700,5,0),0),0))),0)</f>
        <v>8000000</v>
      </c>
      <c r="AM40" s="181"/>
      <c r="AN40" s="181"/>
      <c r="AO40" s="182">
        <f t="shared" si="12"/>
        <v>6400000</v>
      </c>
      <c r="AP40" s="182">
        <f t="shared" si="13"/>
        <v>6400000</v>
      </c>
      <c r="AQ40" s="183">
        <f t="shared" si="14"/>
        <v>6400000</v>
      </c>
      <c r="AR40" s="46">
        <f t="shared" si="7"/>
        <v>0</v>
      </c>
      <c r="AS40" s="46">
        <f t="shared" si="8"/>
        <v>0</v>
      </c>
      <c r="AT40" s="46">
        <v>0</v>
      </c>
      <c r="AU40" s="46">
        <v>0</v>
      </c>
      <c r="AV40" s="47"/>
      <c r="AW40" s="279"/>
      <c r="AX40" s="279"/>
      <c r="AZ40" s="280"/>
      <c r="BA40" s="281" t="s">
        <v>1981</v>
      </c>
      <c r="BB40" s="282">
        <f>VLOOKUP(H40,[1]NVKD!$C$1:$M$3296,11,0)</f>
        <v>3</v>
      </c>
      <c r="BC40" s="281" t="s">
        <v>1984</v>
      </c>
      <c r="BD40" s="283" t="str">
        <f t="shared" si="9"/>
        <v>Showroom Bến Lức</v>
      </c>
      <c r="BF40" s="284">
        <f t="shared" si="10"/>
        <v>0.2</v>
      </c>
      <c r="BG40" s="284">
        <f>IFERROR(IF(Y40=0,0, IF(Y40 / VLOOKUP(M40,'[1]CSBH THƯỞNG XE'!$U$3:$AA$1100,7,FALSE) &lt; 0.5,0,MIN((Y40 / VLOOKUP(M40,'[1]CSBH THƯỞNG XE'!$U$3:$AA$1100,7,FALSE)) * 20%,20%))),0)</f>
        <v>0</v>
      </c>
      <c r="BI40" s="263"/>
    </row>
    <row r="41" spans="1:61" ht="20.149999999999999" customHeight="1">
      <c r="A41" s="178">
        <v>46102</v>
      </c>
      <c r="B41" s="179">
        <f t="shared" si="2"/>
        <v>21</v>
      </c>
      <c r="C41" s="179">
        <f t="shared" si="3"/>
        <v>3</v>
      </c>
      <c r="D41" s="179">
        <f t="shared" si="4"/>
        <v>2026</v>
      </c>
      <c r="E41" s="178">
        <v>46125</v>
      </c>
      <c r="F41" s="26" t="s">
        <v>1061</v>
      </c>
      <c r="G41" s="27" t="s">
        <v>254</v>
      </c>
      <c r="H41" s="28" t="s">
        <v>128</v>
      </c>
      <c r="I41" s="28"/>
      <c r="J41" s="28" t="s">
        <v>428</v>
      </c>
      <c r="K41" s="29"/>
      <c r="L41" s="29"/>
      <c r="M41" s="30" t="s">
        <v>114</v>
      </c>
      <c r="N41" s="30" t="s">
        <v>248</v>
      </c>
      <c r="O41" s="31" t="s">
        <v>114</v>
      </c>
      <c r="P41" s="32"/>
      <c r="Q41" s="180">
        <v>1</v>
      </c>
      <c r="R41" s="32" t="s">
        <v>430</v>
      </c>
      <c r="S41" s="33"/>
      <c r="T41" s="33"/>
      <c r="U41" s="33">
        <v>632781818</v>
      </c>
      <c r="V41" s="33"/>
      <c r="W41" s="34">
        <v>6960600</v>
      </c>
      <c r="X41" s="35"/>
      <c r="Y41" s="34"/>
      <c r="Z41" s="35"/>
      <c r="AA41" s="36">
        <v>8000000</v>
      </c>
      <c r="AB41" s="36">
        <f t="shared" ref="AB41:AB104" si="17">SUM(X41:AA41)-Y41</f>
        <v>8000000</v>
      </c>
      <c r="AC41" s="37">
        <f t="shared" ref="AC41:AC104" si="18">SUM(X41:AA41)-Y41-X41</f>
        <v>8000000</v>
      </c>
      <c r="AD41" s="40">
        <f t="shared" si="11"/>
        <v>8000000</v>
      </c>
      <c r="AE41" s="37"/>
      <c r="AF41" s="37"/>
      <c r="AG41" s="37"/>
      <c r="AH41" s="33"/>
      <c r="AI41" s="38"/>
      <c r="AJ41" s="39"/>
      <c r="AK41" s="31" t="s">
        <v>250</v>
      </c>
      <c r="AL41" s="181">
        <f>IF(E41&gt;=DATE(2026,4,1),IF(OR($AK41="Khách hàng thông thường",$AK41="Khách hàng chuyển đổi xe xăng"),IFERROR(VLOOKUP($M41,'[1]CSBH THƯỞNG XE'!$U$3:$YY$800,3,0),0),IF($AK41="Khách hàng Khối Quân đội - Công An",IFERROR(VLOOKUP($M41,'[1]CSBH THƯỞNG XE'!$U$3:$X$600,4,0),0),IF($AK41="Khách hàng Giờ trái đất",IFERROR(VLOOKUP($M41,'[1]CSBH THƯỞNG XE'!$U$3:$Y$700,5,0),0),0))),0)</f>
        <v>19000000</v>
      </c>
      <c r="AM41" s="181"/>
      <c r="AN41" s="181"/>
      <c r="AO41" s="182">
        <f t="shared" si="12"/>
        <v>8800000</v>
      </c>
      <c r="AP41" s="182">
        <f t="shared" si="13"/>
        <v>8800000</v>
      </c>
      <c r="AQ41" s="183">
        <f t="shared" si="14"/>
        <v>11800000</v>
      </c>
      <c r="AR41" s="46">
        <f t="shared" si="7"/>
        <v>0</v>
      </c>
      <c r="AS41" s="46">
        <f t="shared" si="8"/>
        <v>3000000</v>
      </c>
      <c r="AT41" s="46">
        <v>0</v>
      </c>
      <c r="AU41" s="46">
        <v>6960600</v>
      </c>
      <c r="AV41" s="47"/>
      <c r="AW41" s="279"/>
      <c r="AX41" s="279"/>
      <c r="AZ41" s="280"/>
      <c r="BA41" s="281">
        <v>0</v>
      </c>
      <c r="BB41" s="282">
        <f>VLOOKUP(H41,[1]NVKD!$C$1:$M$3296,11,0)</f>
        <v>2</v>
      </c>
      <c r="BC41" s="281" t="s">
        <v>1982</v>
      </c>
      <c r="BD41" s="283" t="str">
        <f t="shared" si="9"/>
        <v>Showroom Sala</v>
      </c>
      <c r="BF41" s="284">
        <f t="shared" si="10"/>
        <v>0.2</v>
      </c>
      <c r="BG41" s="284">
        <f>IFERROR(IF(Y41=0,0, IF(Y41 / VLOOKUP(M41,'[1]CSBH THƯỞNG XE'!$U$3:$AA$1100,7,FALSE) &lt; 0.5,0,MIN((Y41 / VLOOKUP(M41,'[1]CSBH THƯỞNG XE'!$U$3:$AA$1100,7,FALSE)) * 20%,20%))),0)</f>
        <v>0</v>
      </c>
      <c r="BI41" s="263"/>
    </row>
    <row r="42" spans="1:61" ht="20.149999999999999" customHeight="1">
      <c r="A42" s="178">
        <v>46110</v>
      </c>
      <c r="B42" s="179">
        <f t="shared" si="2"/>
        <v>29</v>
      </c>
      <c r="C42" s="179">
        <f t="shared" si="3"/>
        <v>3</v>
      </c>
      <c r="D42" s="179">
        <f t="shared" si="4"/>
        <v>2026</v>
      </c>
      <c r="E42" s="178">
        <v>46125</v>
      </c>
      <c r="F42" s="26" t="s">
        <v>1062</v>
      </c>
      <c r="G42" s="27" t="s">
        <v>258</v>
      </c>
      <c r="H42" s="28" t="s">
        <v>139</v>
      </c>
      <c r="I42" s="28" t="s">
        <v>259</v>
      </c>
      <c r="J42" s="28" t="s">
        <v>1063</v>
      </c>
      <c r="K42" s="29"/>
      <c r="L42" s="29"/>
      <c r="M42" s="30" t="s">
        <v>56</v>
      </c>
      <c r="N42" s="30" t="s">
        <v>260</v>
      </c>
      <c r="O42" s="31" t="s">
        <v>140</v>
      </c>
      <c r="P42" s="32"/>
      <c r="Q42" s="180">
        <v>1</v>
      </c>
      <c r="R42" s="32" t="s">
        <v>508</v>
      </c>
      <c r="S42" s="33"/>
      <c r="T42" s="33"/>
      <c r="U42" s="33">
        <v>266454545</v>
      </c>
      <c r="V42" s="33"/>
      <c r="W42" s="34"/>
      <c r="X42" s="35"/>
      <c r="Y42" s="34"/>
      <c r="Z42" s="35"/>
      <c r="AA42" s="36">
        <v>3000000</v>
      </c>
      <c r="AB42" s="36">
        <f t="shared" si="17"/>
        <v>3000000</v>
      </c>
      <c r="AC42" s="37">
        <f t="shared" si="18"/>
        <v>3000000</v>
      </c>
      <c r="AD42" s="40">
        <f t="shared" si="11"/>
        <v>3000000</v>
      </c>
      <c r="AE42" s="37"/>
      <c r="AF42" s="37"/>
      <c r="AG42" s="37"/>
      <c r="AH42" s="33"/>
      <c r="AI42" s="38"/>
      <c r="AJ42" s="39"/>
      <c r="AK42" s="31" t="s">
        <v>250</v>
      </c>
      <c r="AL42" s="181">
        <f>IF(E42&gt;=DATE(2026,4,1),IF(OR($AK42="Khách hàng thông thường",$AK42="Khách hàng chuyển đổi xe xăng"),IFERROR(VLOOKUP($M42,'[1]CSBH THƯỞNG XE'!$U$3:$YY$800,3,0),0),IF($AK42="Khách hàng Khối Quân đội - Công An",IFERROR(VLOOKUP($M42,'[1]CSBH THƯỞNG XE'!$U$3:$X$600,4,0),0),IF($AK42="Khách hàng Giờ trái đất",IFERROR(VLOOKUP($M42,'[1]CSBH THƯỞNG XE'!$U$3:$Y$700,5,0),0),0))),0)</f>
        <v>8500000</v>
      </c>
      <c r="AM42" s="181"/>
      <c r="AN42" s="181"/>
      <c r="AO42" s="182">
        <f t="shared" si="12"/>
        <v>4400000</v>
      </c>
      <c r="AP42" s="182">
        <f t="shared" si="13"/>
        <v>4400000</v>
      </c>
      <c r="AQ42" s="183">
        <f t="shared" si="14"/>
        <v>4400000</v>
      </c>
      <c r="AR42" s="46">
        <f t="shared" si="7"/>
        <v>0</v>
      </c>
      <c r="AS42" s="46">
        <f t="shared" si="8"/>
        <v>0</v>
      </c>
      <c r="AT42" s="46">
        <v>0</v>
      </c>
      <c r="AU42" s="46">
        <v>0</v>
      </c>
      <c r="AV42" s="47"/>
      <c r="AW42" s="279"/>
      <c r="AX42" s="279"/>
      <c r="AZ42" s="280"/>
      <c r="BA42" s="281" t="s">
        <v>1981</v>
      </c>
      <c r="BB42" s="282">
        <f>VLOOKUP(H42,[1]NVKD!$C$1:$M$3296,11,0)</f>
        <v>8</v>
      </c>
      <c r="BC42" s="281" t="s">
        <v>1984</v>
      </c>
      <c r="BD42" s="283" t="str">
        <f t="shared" si="9"/>
        <v>Showroom 50 Nguyễn Văn Tăng</v>
      </c>
      <c r="BF42" s="284">
        <f t="shared" si="10"/>
        <v>0.2</v>
      </c>
      <c r="BG42" s="284">
        <f>IFERROR(IF(Y42=0,0, IF(Y42 / VLOOKUP(M42,'[1]CSBH THƯỞNG XE'!$U$3:$AA$1100,7,FALSE) &lt; 0.5,0,MIN((Y42 / VLOOKUP(M42,'[1]CSBH THƯỞNG XE'!$U$3:$AA$1100,7,FALSE)) * 20%,20%))),0)</f>
        <v>0</v>
      </c>
      <c r="BI42" s="263"/>
    </row>
    <row r="43" spans="1:61" ht="20.149999999999999" customHeight="1">
      <c r="A43" s="178">
        <v>46108</v>
      </c>
      <c r="B43" s="179">
        <f t="shared" si="2"/>
        <v>27</v>
      </c>
      <c r="C43" s="179">
        <f t="shared" si="3"/>
        <v>3</v>
      </c>
      <c r="D43" s="179">
        <f t="shared" si="4"/>
        <v>2026</v>
      </c>
      <c r="E43" s="178">
        <v>46125</v>
      </c>
      <c r="F43" s="26" t="s">
        <v>1064</v>
      </c>
      <c r="G43" s="27" t="s">
        <v>246</v>
      </c>
      <c r="H43" s="28" t="s">
        <v>157</v>
      </c>
      <c r="I43" s="28" t="s">
        <v>247</v>
      </c>
      <c r="J43" s="28" t="s">
        <v>638</v>
      </c>
      <c r="K43" s="29"/>
      <c r="L43" s="29"/>
      <c r="M43" s="30" t="s">
        <v>56</v>
      </c>
      <c r="N43" s="30" t="s">
        <v>255</v>
      </c>
      <c r="O43" s="31" t="s">
        <v>105</v>
      </c>
      <c r="P43" s="32"/>
      <c r="Q43" s="180">
        <v>1</v>
      </c>
      <c r="R43" s="32" t="s">
        <v>640</v>
      </c>
      <c r="S43" s="33"/>
      <c r="T43" s="33"/>
      <c r="U43" s="33">
        <v>269181818</v>
      </c>
      <c r="V43" s="33"/>
      <c r="W43" s="34"/>
      <c r="X43" s="35"/>
      <c r="Y43" s="34"/>
      <c r="Z43" s="35"/>
      <c r="AA43" s="36">
        <v>0</v>
      </c>
      <c r="AB43" s="36">
        <f t="shared" si="17"/>
        <v>0</v>
      </c>
      <c r="AC43" s="37">
        <f t="shared" si="18"/>
        <v>0</v>
      </c>
      <c r="AD43" s="40">
        <f t="shared" si="11"/>
        <v>0</v>
      </c>
      <c r="AE43" s="37"/>
      <c r="AF43" s="37"/>
      <c r="AG43" s="37"/>
      <c r="AH43" s="33"/>
      <c r="AI43" s="38"/>
      <c r="AJ43" s="39"/>
      <c r="AK43" s="31" t="s">
        <v>250</v>
      </c>
      <c r="AL43" s="181">
        <f>IF(E43&gt;=DATE(2026,4,1),IF(OR($AK43="Khách hàng thông thường",$AK43="Khách hàng chuyển đổi xe xăng"),IFERROR(VLOOKUP($M43,'[1]CSBH THƯỞNG XE'!$U$3:$YY$800,3,0),0),IF($AK43="Khách hàng Khối Quân đội - Công An",IFERROR(VLOOKUP($M43,'[1]CSBH THƯỞNG XE'!$U$3:$X$600,4,0),0),IF($AK43="Khách hàng Giờ trái đất",IFERROR(VLOOKUP($M43,'[1]CSBH THƯỞNG XE'!$U$3:$Y$700,5,0),0),0))),0)</f>
        <v>8500000</v>
      </c>
      <c r="AM43" s="181"/>
      <c r="AN43" s="181"/>
      <c r="AO43" s="182">
        <f t="shared" si="12"/>
        <v>5100000</v>
      </c>
      <c r="AP43" s="182">
        <f t="shared" si="13"/>
        <v>5100000</v>
      </c>
      <c r="AQ43" s="183">
        <f t="shared" si="14"/>
        <v>5100000</v>
      </c>
      <c r="AR43" s="46">
        <f t="shared" si="7"/>
        <v>0</v>
      </c>
      <c r="AS43" s="46">
        <f t="shared" si="8"/>
        <v>0</v>
      </c>
      <c r="AT43" s="46">
        <v>0</v>
      </c>
      <c r="AU43" s="46">
        <v>0</v>
      </c>
      <c r="AV43" s="47"/>
      <c r="AW43" s="279"/>
      <c r="AX43" s="279"/>
      <c r="AZ43" s="280"/>
      <c r="BA43" s="281" t="s">
        <v>1981</v>
      </c>
      <c r="BB43" s="282">
        <f>VLOOKUP(H43,[1]NVKD!$C$1:$M$3296,11,0)</f>
        <v>3</v>
      </c>
      <c r="BC43" s="281" t="s">
        <v>1982</v>
      </c>
      <c r="BD43" s="283" t="str">
        <f t="shared" si="9"/>
        <v>Showroom Bến Lức</v>
      </c>
      <c r="BF43" s="284">
        <f t="shared" si="10"/>
        <v>0</v>
      </c>
      <c r="BG43" s="284">
        <f>IFERROR(IF(Y43=0,0, IF(Y43 / VLOOKUP(M43,'[1]CSBH THƯỞNG XE'!$U$3:$AA$1100,7,FALSE) &lt; 0.5,0,MIN((Y43 / VLOOKUP(M43,'[1]CSBH THƯỞNG XE'!$U$3:$AA$1100,7,FALSE)) * 20%,20%))),0)</f>
        <v>0</v>
      </c>
      <c r="BI43" s="263"/>
    </row>
    <row r="44" spans="1:61" ht="20.149999999999999" customHeight="1">
      <c r="A44" s="178">
        <v>46105</v>
      </c>
      <c r="B44" s="179">
        <f t="shared" si="2"/>
        <v>24</v>
      </c>
      <c r="C44" s="179">
        <f t="shared" si="3"/>
        <v>3</v>
      </c>
      <c r="D44" s="179">
        <f t="shared" si="4"/>
        <v>2026</v>
      </c>
      <c r="E44" s="178">
        <v>46125</v>
      </c>
      <c r="F44" s="26" t="s">
        <v>1065</v>
      </c>
      <c r="G44" s="27" t="s">
        <v>258</v>
      </c>
      <c r="H44" s="28" t="s">
        <v>141</v>
      </c>
      <c r="I44" s="28" t="s">
        <v>261</v>
      </c>
      <c r="J44" s="28" t="s">
        <v>1066</v>
      </c>
      <c r="K44" s="29"/>
      <c r="L44" s="29"/>
      <c r="M44" s="30" t="s">
        <v>110</v>
      </c>
      <c r="N44" s="30" t="s">
        <v>260</v>
      </c>
      <c r="O44" s="31" t="s">
        <v>140</v>
      </c>
      <c r="P44" s="32"/>
      <c r="Q44" s="180">
        <v>1</v>
      </c>
      <c r="R44" s="32" t="s">
        <v>515</v>
      </c>
      <c r="S44" s="33"/>
      <c r="T44" s="33"/>
      <c r="U44" s="33">
        <v>428009091</v>
      </c>
      <c r="V44" s="33"/>
      <c r="W44" s="34"/>
      <c r="X44" s="35"/>
      <c r="Y44" s="34"/>
      <c r="Z44" s="35"/>
      <c r="AA44" s="36">
        <v>0</v>
      </c>
      <c r="AB44" s="36">
        <f t="shared" si="17"/>
        <v>0</v>
      </c>
      <c r="AC44" s="37">
        <f t="shared" si="18"/>
        <v>0</v>
      </c>
      <c r="AD44" s="40">
        <f t="shared" si="11"/>
        <v>0</v>
      </c>
      <c r="AE44" s="37"/>
      <c r="AF44" s="37"/>
      <c r="AG44" s="37"/>
      <c r="AH44" s="33"/>
      <c r="AI44" s="38"/>
      <c r="AJ44" s="39"/>
      <c r="AK44" s="42" t="s">
        <v>271</v>
      </c>
      <c r="AL44" s="181">
        <f>IF(E44&gt;=DATE(2026,4,1),IF(OR($AK44="Khách hàng thông thường",$AK44="Khách hàng chuyển đổi xe xăng"),IFERROR(VLOOKUP($M44,'[1]CSBH THƯỞNG XE'!$U$3:$YY$800,3,0),0),IF($AK44="Khách hàng Khối Quân đội - Công An",IFERROR(VLOOKUP($M44,'[1]CSBH THƯỞNG XE'!$U$3:$X$600,4,0),0),IF($AK44="Khách hàng Giờ trái đất",IFERROR(VLOOKUP($M44,'[1]CSBH THƯỞNG XE'!$U$3:$Y$700,5,0),0),0))),0)</f>
        <v>8000000</v>
      </c>
      <c r="AM44" s="181"/>
      <c r="AN44" s="181"/>
      <c r="AO44" s="182">
        <f t="shared" si="12"/>
        <v>6400000</v>
      </c>
      <c r="AP44" s="182">
        <f t="shared" si="13"/>
        <v>6400000</v>
      </c>
      <c r="AQ44" s="183">
        <f t="shared" si="14"/>
        <v>6400000</v>
      </c>
      <c r="AR44" s="46">
        <f t="shared" si="7"/>
        <v>0</v>
      </c>
      <c r="AS44" s="46">
        <f t="shared" si="8"/>
        <v>0</v>
      </c>
      <c r="AT44" s="46">
        <v>0</v>
      </c>
      <c r="AU44" s="46">
        <v>0</v>
      </c>
      <c r="AV44" s="47"/>
      <c r="AW44" s="279"/>
      <c r="AX44" s="279"/>
      <c r="AZ44" s="280"/>
      <c r="BA44" s="281" t="s">
        <v>1981</v>
      </c>
      <c r="BB44" s="282">
        <f>VLOOKUP(H44,[1]NVKD!$C$1:$M$3296,11,0)</f>
        <v>1</v>
      </c>
      <c r="BC44" s="281" t="s">
        <v>1984</v>
      </c>
      <c r="BD44" s="283" t="str">
        <f t="shared" si="9"/>
        <v>Showroom 50 Nguyễn Văn Tăng</v>
      </c>
      <c r="BF44" s="284">
        <f t="shared" si="10"/>
        <v>0.2</v>
      </c>
      <c r="BG44" s="284">
        <f>IFERROR(IF(Y44=0,0, IF(Y44 / VLOOKUP(M44,'[1]CSBH THƯỞNG XE'!$U$3:$AA$1100,7,FALSE) &lt; 0.5,0,MIN((Y44 / VLOOKUP(M44,'[1]CSBH THƯỞNG XE'!$U$3:$AA$1100,7,FALSE)) * 20%,20%))),0)</f>
        <v>0</v>
      </c>
      <c r="BI44" s="263"/>
    </row>
    <row r="45" spans="1:61" ht="20.149999999999999" customHeight="1">
      <c r="A45" s="178">
        <v>46101</v>
      </c>
      <c r="B45" s="179">
        <f t="shared" si="2"/>
        <v>20</v>
      </c>
      <c r="C45" s="179">
        <f t="shared" si="3"/>
        <v>3</v>
      </c>
      <c r="D45" s="179">
        <f t="shared" si="4"/>
        <v>2026</v>
      </c>
      <c r="E45" s="178">
        <v>46125</v>
      </c>
      <c r="F45" s="26" t="s">
        <v>1067</v>
      </c>
      <c r="G45" s="27" t="s">
        <v>263</v>
      </c>
      <c r="H45" s="28" t="s">
        <v>457</v>
      </c>
      <c r="I45" s="28" t="s">
        <v>273</v>
      </c>
      <c r="J45" s="28" t="s">
        <v>458</v>
      </c>
      <c r="K45" s="29"/>
      <c r="L45" s="29"/>
      <c r="M45" s="30" t="s">
        <v>125</v>
      </c>
      <c r="N45" s="30" t="s">
        <v>274</v>
      </c>
      <c r="O45" s="31" t="s">
        <v>174</v>
      </c>
      <c r="P45" s="32"/>
      <c r="Q45" s="180">
        <v>1</v>
      </c>
      <c r="R45" s="32" t="s">
        <v>460</v>
      </c>
      <c r="S45" s="33"/>
      <c r="T45" s="33"/>
      <c r="U45" s="33">
        <v>255181818</v>
      </c>
      <c r="V45" s="33"/>
      <c r="W45" s="34"/>
      <c r="X45" s="35"/>
      <c r="Y45" s="34"/>
      <c r="Z45" s="35"/>
      <c r="AA45" s="36">
        <v>0</v>
      </c>
      <c r="AB45" s="36">
        <f t="shared" si="17"/>
        <v>0</v>
      </c>
      <c r="AC45" s="37">
        <f t="shared" si="18"/>
        <v>0</v>
      </c>
      <c r="AD45" s="40">
        <f t="shared" si="11"/>
        <v>0</v>
      </c>
      <c r="AE45" s="37"/>
      <c r="AF45" s="37"/>
      <c r="AG45" s="37"/>
      <c r="AH45" s="33"/>
      <c r="AI45" s="38"/>
      <c r="AJ45" s="39"/>
      <c r="AK45" s="31" t="s">
        <v>250</v>
      </c>
      <c r="AL45" s="181">
        <f>IF(E45&gt;=DATE(2026,4,1),IF(OR($AK45="Khách hàng thông thường",$AK45="Khách hàng chuyển đổi xe xăng"),IFERROR(VLOOKUP($M45,'[1]CSBH THƯỞNG XE'!$U$3:$YY$800,3,0),0),IF($AK45="Khách hàng Khối Quân đội - Công An",IFERROR(VLOOKUP($M45,'[1]CSBH THƯỞNG XE'!$U$3:$X$600,4,0),0),IF($AK45="Khách hàng Giờ trái đất",IFERROR(VLOOKUP($M45,'[1]CSBH THƯỞNG XE'!$U$3:$Y$700,5,0),0),0))),0)</f>
        <v>7500000</v>
      </c>
      <c r="AM45" s="181"/>
      <c r="AN45" s="181"/>
      <c r="AO45" s="182">
        <f t="shared" si="12"/>
        <v>4500000</v>
      </c>
      <c r="AP45" s="182">
        <f t="shared" si="13"/>
        <v>4500000</v>
      </c>
      <c r="AQ45" s="183">
        <f t="shared" si="14"/>
        <v>4500000</v>
      </c>
      <c r="AR45" s="46">
        <f t="shared" si="7"/>
        <v>0</v>
      </c>
      <c r="AS45" s="46">
        <f t="shared" si="8"/>
        <v>0</v>
      </c>
      <c r="AT45" s="46">
        <v>3000000</v>
      </c>
      <c r="AU45" s="46">
        <v>0</v>
      </c>
      <c r="AV45" s="47"/>
      <c r="AW45" s="279"/>
      <c r="AX45" s="279"/>
      <c r="AZ45" s="280"/>
      <c r="BA45" s="281" t="s">
        <v>1983</v>
      </c>
      <c r="BB45" s="282">
        <f>VLOOKUP(H45,[1]NVKD!$C$1:$M$3296,11,0)</f>
        <v>4</v>
      </c>
      <c r="BC45" s="281" t="s">
        <v>1982</v>
      </c>
      <c r="BD45" s="283" t="str">
        <f t="shared" si="9"/>
        <v>Showroom Quang Trung</v>
      </c>
      <c r="BF45" s="284">
        <f t="shared" si="10"/>
        <v>0</v>
      </c>
      <c r="BG45" s="284">
        <f>IFERROR(IF(Y45=0,0, IF(Y45 / VLOOKUP(M45,'[1]CSBH THƯỞNG XE'!$U$3:$AA$1100,7,FALSE) &lt; 0.5,0,MIN((Y45 / VLOOKUP(M45,'[1]CSBH THƯỞNG XE'!$U$3:$AA$1100,7,FALSE)) * 20%,20%))),0)</f>
        <v>0</v>
      </c>
      <c r="BI45" s="263"/>
    </row>
    <row r="46" spans="1:61" ht="20.149999999999999" customHeight="1">
      <c r="A46" s="178">
        <v>46103</v>
      </c>
      <c r="B46" s="179">
        <f t="shared" si="2"/>
        <v>22</v>
      </c>
      <c r="C46" s="179">
        <f t="shared" si="3"/>
        <v>3</v>
      </c>
      <c r="D46" s="179">
        <f t="shared" si="4"/>
        <v>2026</v>
      </c>
      <c r="E46" s="178">
        <v>46125</v>
      </c>
      <c r="F46" s="26" t="s">
        <v>1068</v>
      </c>
      <c r="G46" s="27" t="s">
        <v>263</v>
      </c>
      <c r="H46" s="28" t="s">
        <v>182</v>
      </c>
      <c r="I46" s="28" t="s">
        <v>273</v>
      </c>
      <c r="J46" s="28" t="s">
        <v>454</v>
      </c>
      <c r="K46" s="29"/>
      <c r="L46" s="29"/>
      <c r="M46" s="30" t="s">
        <v>114</v>
      </c>
      <c r="N46" s="30" t="s">
        <v>255</v>
      </c>
      <c r="O46" s="31" t="s">
        <v>148</v>
      </c>
      <c r="P46" s="32"/>
      <c r="Q46" s="180">
        <v>1</v>
      </c>
      <c r="R46" s="32" t="s">
        <v>456</v>
      </c>
      <c r="S46" s="33"/>
      <c r="T46" s="33"/>
      <c r="U46" s="33">
        <v>629145455</v>
      </c>
      <c r="V46" s="33"/>
      <c r="W46" s="34"/>
      <c r="X46" s="35"/>
      <c r="Y46" s="34"/>
      <c r="Z46" s="35"/>
      <c r="AA46" s="36">
        <v>12000000</v>
      </c>
      <c r="AB46" s="36">
        <f t="shared" si="17"/>
        <v>12000000</v>
      </c>
      <c r="AC46" s="37">
        <f t="shared" si="18"/>
        <v>12000000</v>
      </c>
      <c r="AD46" s="40">
        <f t="shared" si="11"/>
        <v>12000000</v>
      </c>
      <c r="AE46" s="37"/>
      <c r="AF46" s="37"/>
      <c r="AG46" s="37"/>
      <c r="AH46" s="33"/>
      <c r="AI46" s="38"/>
      <c r="AJ46" s="39"/>
      <c r="AK46" s="31" t="s">
        <v>250</v>
      </c>
      <c r="AL46" s="181">
        <f>IF(E46&gt;=DATE(2026,4,1),IF(OR($AK46="Khách hàng thông thường",$AK46="Khách hàng chuyển đổi xe xăng"),IFERROR(VLOOKUP($M46,'[1]CSBH THƯỞNG XE'!$U$3:$YY$800,3,0),0),IF($AK46="Khách hàng Khối Quân đội - Công An",IFERROR(VLOOKUP($M46,'[1]CSBH THƯỞNG XE'!$U$3:$X$600,4,0),0),IF($AK46="Khách hàng Giờ trái đất",IFERROR(VLOOKUP($M46,'[1]CSBH THƯỞNG XE'!$U$3:$Y$700,5,0),0),0))),0)</f>
        <v>19000000</v>
      </c>
      <c r="AM46" s="181"/>
      <c r="AN46" s="181"/>
      <c r="AO46" s="182">
        <f t="shared" si="12"/>
        <v>5600000</v>
      </c>
      <c r="AP46" s="182">
        <f t="shared" si="13"/>
        <v>5600000</v>
      </c>
      <c r="AQ46" s="183">
        <f t="shared" si="14"/>
        <v>5600000</v>
      </c>
      <c r="AR46" s="46">
        <f t="shared" si="7"/>
        <v>0</v>
      </c>
      <c r="AS46" s="46">
        <f t="shared" si="8"/>
        <v>0</v>
      </c>
      <c r="AT46" s="46">
        <v>3500000</v>
      </c>
      <c r="AU46" s="46">
        <v>0</v>
      </c>
      <c r="AV46" s="47"/>
      <c r="AW46" s="279"/>
      <c r="AX46" s="279"/>
      <c r="AZ46" s="280"/>
      <c r="BA46" s="281" t="s">
        <v>1983</v>
      </c>
      <c r="BB46" s="282">
        <f>VLOOKUP(H46,[1]NVKD!$C$1:$M$3296,11,0)</f>
        <v>2</v>
      </c>
      <c r="BC46" s="281" t="s">
        <v>1984</v>
      </c>
      <c r="BD46" s="283" t="str">
        <f t="shared" si="9"/>
        <v>Showroom Quang Trung</v>
      </c>
      <c r="BF46" s="284">
        <f t="shared" si="10"/>
        <v>0.2</v>
      </c>
      <c r="BG46" s="284">
        <f>IFERROR(IF(Y46=0,0, IF(Y46 / VLOOKUP(M46,'[1]CSBH THƯỞNG XE'!$U$3:$AA$1100,7,FALSE) &lt; 0.5,0,MIN((Y46 / VLOOKUP(M46,'[1]CSBH THƯỞNG XE'!$U$3:$AA$1100,7,FALSE)) * 20%,20%))),0)</f>
        <v>0</v>
      </c>
      <c r="BI46" s="263"/>
    </row>
    <row r="47" spans="1:61" ht="20.149999999999999" customHeight="1">
      <c r="A47" s="178">
        <v>46115</v>
      </c>
      <c r="B47" s="179">
        <f t="shared" si="2"/>
        <v>3</v>
      </c>
      <c r="C47" s="179">
        <f t="shared" si="3"/>
        <v>4</v>
      </c>
      <c r="D47" s="179">
        <f t="shared" si="4"/>
        <v>2026</v>
      </c>
      <c r="E47" s="178">
        <v>46125</v>
      </c>
      <c r="F47" s="26" t="s">
        <v>1069</v>
      </c>
      <c r="G47" s="27" t="s">
        <v>246</v>
      </c>
      <c r="H47" s="28" t="s">
        <v>137</v>
      </c>
      <c r="I47" s="28" t="s">
        <v>247</v>
      </c>
      <c r="J47" s="28" t="s">
        <v>648</v>
      </c>
      <c r="K47" s="29"/>
      <c r="L47" s="29"/>
      <c r="M47" s="30" t="s">
        <v>110</v>
      </c>
      <c r="N47" s="30" t="s">
        <v>274</v>
      </c>
      <c r="O47" s="31" t="s">
        <v>105</v>
      </c>
      <c r="P47" s="32"/>
      <c r="Q47" s="180">
        <v>1</v>
      </c>
      <c r="R47" s="32" t="s">
        <v>650</v>
      </c>
      <c r="S47" s="33"/>
      <c r="T47" s="33"/>
      <c r="U47" s="33">
        <v>442963636</v>
      </c>
      <c r="V47" s="33"/>
      <c r="W47" s="34"/>
      <c r="X47" s="35"/>
      <c r="Y47" s="34"/>
      <c r="Z47" s="35"/>
      <c r="AA47" s="36">
        <v>10000000</v>
      </c>
      <c r="AB47" s="36">
        <f t="shared" si="17"/>
        <v>10000000</v>
      </c>
      <c r="AC47" s="37">
        <f t="shared" si="18"/>
        <v>10000000</v>
      </c>
      <c r="AD47" s="40">
        <f t="shared" si="11"/>
        <v>10000000</v>
      </c>
      <c r="AE47" s="37"/>
      <c r="AF47" s="37"/>
      <c r="AG47" s="37"/>
      <c r="AH47" s="33"/>
      <c r="AI47" s="38"/>
      <c r="AJ47" s="39"/>
      <c r="AK47" s="31" t="s">
        <v>250</v>
      </c>
      <c r="AL47" s="181">
        <f>IF(E47&gt;=DATE(2026,4,1),IF(OR($AK47="Khách hàng thông thường",$AK47="Khách hàng chuyển đổi xe xăng"),IFERROR(VLOOKUP($M47,'[1]CSBH THƯỞNG XE'!$U$3:$YY$800,3,0),0),IF($AK47="Khách hàng Khối Quân đội - Công An",IFERROR(VLOOKUP($M47,'[1]CSBH THƯỞNG XE'!$U$3:$X$600,4,0),0),IF($AK47="Khách hàng Giờ trái đất",IFERROR(VLOOKUP($M47,'[1]CSBH THƯỞNG XE'!$U$3:$Y$700,5,0),0),0))),0)</f>
        <v>16000000</v>
      </c>
      <c r="AM47" s="181"/>
      <c r="AN47" s="181"/>
      <c r="AO47" s="182">
        <f t="shared" si="12"/>
        <v>4800000</v>
      </c>
      <c r="AP47" s="182">
        <f t="shared" si="13"/>
        <v>4800000</v>
      </c>
      <c r="AQ47" s="183">
        <f t="shared" si="14"/>
        <v>4800000</v>
      </c>
      <c r="AR47" s="46">
        <f t="shared" si="7"/>
        <v>0</v>
      </c>
      <c r="AS47" s="46">
        <f t="shared" si="8"/>
        <v>0</v>
      </c>
      <c r="AT47" s="46">
        <v>0</v>
      </c>
      <c r="AU47" s="46">
        <v>0</v>
      </c>
      <c r="AV47" s="47"/>
      <c r="AW47" s="279"/>
      <c r="AX47" s="279"/>
      <c r="AZ47" s="280"/>
      <c r="BA47" s="281" t="s">
        <v>1983</v>
      </c>
      <c r="BB47" s="282">
        <f>VLOOKUP(H47,[1]NVKD!$C$1:$M$3296,11,0)</f>
        <v>3</v>
      </c>
      <c r="BC47" s="281" t="s">
        <v>1984</v>
      </c>
      <c r="BD47" s="283" t="str">
        <f t="shared" si="9"/>
        <v>Showroom Bến Lức</v>
      </c>
      <c r="BF47" s="284">
        <f t="shared" si="10"/>
        <v>0.2</v>
      </c>
      <c r="BG47" s="284">
        <f>IFERROR(IF(Y47=0,0, IF(Y47 / VLOOKUP(M47,'[1]CSBH THƯỞNG XE'!$U$3:$AA$1100,7,FALSE) &lt; 0.5,0,MIN((Y47 / VLOOKUP(M47,'[1]CSBH THƯỞNG XE'!$U$3:$AA$1100,7,FALSE)) * 20%,20%))),0)</f>
        <v>0</v>
      </c>
      <c r="BI47" s="263"/>
    </row>
    <row r="48" spans="1:61" ht="20.149999999999999" customHeight="1">
      <c r="A48" s="178">
        <v>46111</v>
      </c>
      <c r="B48" s="179">
        <f t="shared" si="2"/>
        <v>30</v>
      </c>
      <c r="C48" s="179">
        <f t="shared" si="3"/>
        <v>3</v>
      </c>
      <c r="D48" s="179">
        <f t="shared" si="4"/>
        <v>2026</v>
      </c>
      <c r="E48" s="178">
        <v>46126</v>
      </c>
      <c r="F48" s="26" t="s">
        <v>1070</v>
      </c>
      <c r="G48" s="27" t="s">
        <v>258</v>
      </c>
      <c r="H48" s="28" t="s">
        <v>201</v>
      </c>
      <c r="I48" s="28" t="s">
        <v>259</v>
      </c>
      <c r="J48" s="28" t="s">
        <v>1071</v>
      </c>
      <c r="K48" s="29"/>
      <c r="L48" s="29"/>
      <c r="M48" s="30" t="s">
        <v>114</v>
      </c>
      <c r="N48" s="30" t="s">
        <v>277</v>
      </c>
      <c r="O48" s="31" t="s">
        <v>114</v>
      </c>
      <c r="P48" s="32"/>
      <c r="Q48" s="180">
        <v>1</v>
      </c>
      <c r="R48" s="32" t="s">
        <v>518</v>
      </c>
      <c r="S48" s="33"/>
      <c r="T48" s="33"/>
      <c r="U48" s="33">
        <v>629145455</v>
      </c>
      <c r="V48" s="33"/>
      <c r="W48" s="34">
        <v>10886840</v>
      </c>
      <c r="X48" s="35"/>
      <c r="Y48" s="34"/>
      <c r="Z48" s="35"/>
      <c r="AA48" s="36">
        <v>12000000</v>
      </c>
      <c r="AB48" s="36">
        <f t="shared" si="17"/>
        <v>12000000</v>
      </c>
      <c r="AC48" s="37">
        <f t="shared" si="18"/>
        <v>12000000</v>
      </c>
      <c r="AD48" s="40">
        <f t="shared" si="11"/>
        <v>12000000</v>
      </c>
      <c r="AE48" s="37"/>
      <c r="AF48" s="37"/>
      <c r="AG48" s="37"/>
      <c r="AH48" s="33"/>
      <c r="AI48" s="38"/>
      <c r="AJ48" s="39"/>
      <c r="AK48" s="31" t="s">
        <v>250</v>
      </c>
      <c r="AL48" s="181">
        <f>IF(E48&gt;=DATE(2026,4,1),IF(OR($AK48="Khách hàng thông thường",$AK48="Khách hàng chuyển đổi xe xăng"),IFERROR(VLOOKUP($M48,'[1]CSBH THƯỞNG XE'!$U$3:$YY$800,3,0),0),IF($AK48="Khách hàng Khối Quân đội - Công An",IFERROR(VLOOKUP($M48,'[1]CSBH THƯỞNG XE'!$U$3:$X$600,4,0),0),IF($AK48="Khách hàng Giờ trái đất",IFERROR(VLOOKUP($M48,'[1]CSBH THƯỞNG XE'!$U$3:$Y$700,5,0),0),0))),0)</f>
        <v>19000000</v>
      </c>
      <c r="AM48" s="181"/>
      <c r="AN48" s="181"/>
      <c r="AO48" s="182">
        <f t="shared" si="12"/>
        <v>5600000</v>
      </c>
      <c r="AP48" s="182">
        <f t="shared" si="13"/>
        <v>5600000</v>
      </c>
      <c r="AQ48" s="183">
        <f t="shared" si="14"/>
        <v>8600000</v>
      </c>
      <c r="AR48" s="46">
        <f t="shared" si="7"/>
        <v>0</v>
      </c>
      <c r="AS48" s="46">
        <f t="shared" si="8"/>
        <v>3000000</v>
      </c>
      <c r="AT48" s="46">
        <v>0</v>
      </c>
      <c r="AU48" s="46">
        <v>0</v>
      </c>
      <c r="AV48" s="47"/>
      <c r="AW48" s="279"/>
      <c r="AX48" s="279"/>
      <c r="AZ48" s="280"/>
      <c r="BA48" s="281" t="s">
        <v>1983</v>
      </c>
      <c r="BB48" s="282">
        <f>VLOOKUP(H48,[1]NVKD!$C$1:$M$3296,11,0)</f>
        <v>1</v>
      </c>
      <c r="BC48" s="281" t="s">
        <v>1982</v>
      </c>
      <c r="BD48" s="283" t="str">
        <f t="shared" si="9"/>
        <v>Showroom 50 Nguyễn Văn Tăng</v>
      </c>
      <c r="BF48" s="284">
        <f t="shared" si="10"/>
        <v>0.2</v>
      </c>
      <c r="BG48" s="284">
        <f>IFERROR(IF(Y48=0,0, IF(Y48 / VLOOKUP(M48,'[1]CSBH THƯỞNG XE'!$U$3:$AA$1100,7,FALSE) &lt; 0.5,0,MIN((Y48 / VLOOKUP(M48,'[1]CSBH THƯỞNG XE'!$U$3:$AA$1100,7,FALSE)) * 20%,20%))),0)</f>
        <v>0</v>
      </c>
      <c r="BI48" s="263"/>
    </row>
    <row r="49" spans="1:61" ht="20.149999999999999" customHeight="1">
      <c r="A49" s="178">
        <v>46107</v>
      </c>
      <c r="B49" s="179">
        <f t="shared" si="2"/>
        <v>26</v>
      </c>
      <c r="C49" s="179">
        <f t="shared" si="3"/>
        <v>3</v>
      </c>
      <c r="D49" s="179">
        <f t="shared" si="4"/>
        <v>2026</v>
      </c>
      <c r="E49" s="178">
        <v>46126</v>
      </c>
      <c r="F49" s="26" t="s">
        <v>1072</v>
      </c>
      <c r="G49" s="27" t="s">
        <v>254</v>
      </c>
      <c r="H49" s="28" t="s">
        <v>170</v>
      </c>
      <c r="I49" s="28" t="s">
        <v>169</v>
      </c>
      <c r="J49" s="28" t="s">
        <v>1073</v>
      </c>
      <c r="K49" s="29"/>
      <c r="L49" s="29"/>
      <c r="M49" s="30" t="s">
        <v>110</v>
      </c>
      <c r="N49" s="30" t="s">
        <v>255</v>
      </c>
      <c r="O49" s="31" t="s">
        <v>105</v>
      </c>
      <c r="P49" s="32"/>
      <c r="Q49" s="180">
        <v>1</v>
      </c>
      <c r="R49" s="32" t="s">
        <v>434</v>
      </c>
      <c r="S49" s="33"/>
      <c r="T49" s="33"/>
      <c r="U49" s="33">
        <v>452054545</v>
      </c>
      <c r="V49" s="33"/>
      <c r="W49" s="34"/>
      <c r="X49" s="35"/>
      <c r="Y49" s="34">
        <v>2739889</v>
      </c>
      <c r="Z49" s="35"/>
      <c r="AA49" s="36">
        <v>0</v>
      </c>
      <c r="AB49" s="36">
        <f t="shared" si="17"/>
        <v>0</v>
      </c>
      <c r="AC49" s="37">
        <f t="shared" si="18"/>
        <v>0</v>
      </c>
      <c r="AD49" s="40">
        <f t="shared" si="11"/>
        <v>0</v>
      </c>
      <c r="AE49" s="37"/>
      <c r="AF49" s="37"/>
      <c r="AG49" s="37"/>
      <c r="AH49" s="33"/>
      <c r="AI49" s="38"/>
      <c r="AJ49" s="39"/>
      <c r="AK49" s="31" t="s">
        <v>250</v>
      </c>
      <c r="AL49" s="181">
        <f>IF(E49&gt;=DATE(2026,4,1),IF(OR($AK49="Khách hàng thông thường",$AK49="Khách hàng chuyển đổi xe xăng"),IFERROR(VLOOKUP($M49,'[1]CSBH THƯỞNG XE'!$U$3:$YY$800,3,0),0),IF($AK49="Khách hàng Khối Quân đội - Công An",IFERROR(VLOOKUP($M49,'[1]CSBH THƯỞNG XE'!$U$3:$X$600,4,0),0),IF($AK49="Khách hàng Giờ trái đất",IFERROR(VLOOKUP($M49,'[1]CSBH THƯỞNG XE'!$U$3:$Y$700,5,0),0),0))),0)</f>
        <v>16000000</v>
      </c>
      <c r="AM49" s="181"/>
      <c r="AN49" s="181"/>
      <c r="AO49" s="182">
        <f t="shared" si="12"/>
        <v>11889268.644600404</v>
      </c>
      <c r="AP49" s="182">
        <f t="shared" si="13"/>
        <v>11889268.644600404</v>
      </c>
      <c r="AQ49" s="183">
        <f t="shared" si="14"/>
        <v>11889268.644600404</v>
      </c>
      <c r="AR49" s="46">
        <f t="shared" si="7"/>
        <v>0</v>
      </c>
      <c r="AS49" s="46">
        <f t="shared" si="8"/>
        <v>0</v>
      </c>
      <c r="AT49" s="46">
        <v>0</v>
      </c>
      <c r="AU49" s="46">
        <v>0</v>
      </c>
      <c r="AV49" s="34">
        <v>2739889</v>
      </c>
      <c r="AW49" s="279"/>
      <c r="AX49" s="279"/>
      <c r="AZ49" s="280"/>
      <c r="BA49" s="281">
        <v>0</v>
      </c>
      <c r="BB49" s="282">
        <f>VLOOKUP(H49,[1]NVKD!$C$1:$M$3296,11,0)</f>
        <v>1</v>
      </c>
      <c r="BC49" s="281" t="s">
        <v>1982</v>
      </c>
      <c r="BD49" s="283" t="str">
        <f t="shared" si="9"/>
        <v>Showroom Sala</v>
      </c>
      <c r="BF49" s="284">
        <f t="shared" si="10"/>
        <v>0</v>
      </c>
      <c r="BG49" s="284">
        <f>IFERROR(IF(Y49=0,0, IF(Y49 / VLOOKUP(M49,'[1]CSBH THƯỞNG XE'!$U$3:$AA$1100,7,FALSE) &lt; 0.5,0,MIN((Y49 / VLOOKUP(M49,'[1]CSBH THƯỞNG XE'!$U$3:$AA$1100,7,FALSE)) * 20%,20%))),0)</f>
        <v>0.14307929028752531</v>
      </c>
      <c r="BI49" s="263"/>
    </row>
    <row r="50" spans="1:61" ht="20.149999999999999" customHeight="1">
      <c r="A50" s="178">
        <v>46106</v>
      </c>
      <c r="B50" s="179">
        <f t="shared" si="2"/>
        <v>25</v>
      </c>
      <c r="C50" s="179">
        <f t="shared" si="3"/>
        <v>3</v>
      </c>
      <c r="D50" s="179">
        <f t="shared" si="4"/>
        <v>2026</v>
      </c>
      <c r="E50" s="178">
        <v>46126</v>
      </c>
      <c r="F50" s="26" t="s">
        <v>1074</v>
      </c>
      <c r="G50" s="27" t="s">
        <v>246</v>
      </c>
      <c r="H50" s="28" t="s">
        <v>135</v>
      </c>
      <c r="I50" s="28" t="s">
        <v>286</v>
      </c>
      <c r="J50" s="28" t="s">
        <v>651</v>
      </c>
      <c r="K50" s="29"/>
      <c r="L50" s="29"/>
      <c r="M50" s="30" t="s">
        <v>114</v>
      </c>
      <c r="N50" s="30" t="s">
        <v>248</v>
      </c>
      <c r="O50" s="31" t="s">
        <v>52</v>
      </c>
      <c r="P50" s="32"/>
      <c r="Q50" s="180">
        <v>1</v>
      </c>
      <c r="R50" s="32" t="s">
        <v>653</v>
      </c>
      <c r="S50" s="33"/>
      <c r="T50" s="33"/>
      <c r="U50" s="33">
        <v>640054545</v>
      </c>
      <c r="V50" s="33"/>
      <c r="W50" s="34"/>
      <c r="X50" s="35"/>
      <c r="Y50" s="34"/>
      <c r="Z50" s="35"/>
      <c r="AA50" s="36">
        <v>0</v>
      </c>
      <c r="AB50" s="36">
        <f t="shared" si="17"/>
        <v>0</v>
      </c>
      <c r="AC50" s="37">
        <f t="shared" si="18"/>
        <v>0</v>
      </c>
      <c r="AD50" s="40">
        <f t="shared" si="11"/>
        <v>0</v>
      </c>
      <c r="AE50" s="37"/>
      <c r="AF50" s="37"/>
      <c r="AG50" s="37"/>
      <c r="AH50" s="33"/>
      <c r="AI50" s="38"/>
      <c r="AJ50" s="39"/>
      <c r="AK50" s="31" t="s">
        <v>250</v>
      </c>
      <c r="AL50" s="181">
        <f>IF(E50&gt;=DATE(2026,4,1),IF(OR($AK50="Khách hàng thông thường",$AK50="Khách hàng chuyển đổi xe xăng"),IFERROR(VLOOKUP($M50,'[1]CSBH THƯỞNG XE'!$U$3:$YY$800,3,0),0),IF($AK50="Khách hàng Khối Quân đội - Công An",IFERROR(VLOOKUP($M50,'[1]CSBH THƯỞNG XE'!$U$3:$X$600,4,0),0),IF($AK50="Khách hàng Giờ trái đất",IFERROR(VLOOKUP($M50,'[1]CSBH THƯỞNG XE'!$U$3:$Y$700,5,0),0),0))),0)</f>
        <v>19000000</v>
      </c>
      <c r="AM50" s="181"/>
      <c r="AN50" s="181"/>
      <c r="AO50" s="182">
        <f t="shared" si="12"/>
        <v>11400000</v>
      </c>
      <c r="AP50" s="182">
        <f t="shared" si="13"/>
        <v>11400000</v>
      </c>
      <c r="AQ50" s="183">
        <f t="shared" si="14"/>
        <v>14400000</v>
      </c>
      <c r="AR50" s="46">
        <f t="shared" si="7"/>
        <v>0</v>
      </c>
      <c r="AS50" s="46">
        <f t="shared" si="8"/>
        <v>3000000</v>
      </c>
      <c r="AT50" s="46">
        <v>0</v>
      </c>
      <c r="AU50" s="46">
        <v>0</v>
      </c>
      <c r="AV50" s="47"/>
      <c r="AW50" s="279"/>
      <c r="AX50" s="279"/>
      <c r="AZ50" s="280"/>
      <c r="BA50" s="281" t="s">
        <v>1983</v>
      </c>
      <c r="BB50" s="282">
        <f>VLOOKUP(H50,[1]NVKD!$C$1:$M$3296,11,0)</f>
        <v>6</v>
      </c>
      <c r="BC50" s="281" t="s">
        <v>1982</v>
      </c>
      <c r="BD50" s="283" t="str">
        <f t="shared" si="9"/>
        <v>Showroom Bến Lức</v>
      </c>
      <c r="BF50" s="284">
        <f t="shared" si="10"/>
        <v>0</v>
      </c>
      <c r="BG50" s="284">
        <f>IFERROR(IF(Y50=0,0, IF(Y50 / VLOOKUP(M50,'[1]CSBH THƯỞNG XE'!$U$3:$AA$1100,7,FALSE) &lt; 0.5,0,MIN((Y50 / VLOOKUP(M50,'[1]CSBH THƯỞNG XE'!$U$3:$AA$1100,7,FALSE)) * 20%,20%))),0)</f>
        <v>0</v>
      </c>
      <c r="BI50" s="263"/>
    </row>
    <row r="51" spans="1:61" ht="20.149999999999999" customHeight="1">
      <c r="A51" s="178">
        <v>46110</v>
      </c>
      <c r="B51" s="179">
        <f t="shared" si="2"/>
        <v>29</v>
      </c>
      <c r="C51" s="179">
        <f t="shared" si="3"/>
        <v>3</v>
      </c>
      <c r="D51" s="179">
        <f t="shared" si="4"/>
        <v>2026</v>
      </c>
      <c r="E51" s="178">
        <v>46126</v>
      </c>
      <c r="F51" s="26" t="s">
        <v>1075</v>
      </c>
      <c r="G51" s="27" t="s">
        <v>258</v>
      </c>
      <c r="H51" s="28" t="s">
        <v>194</v>
      </c>
      <c r="I51" s="28" t="s">
        <v>259</v>
      </c>
      <c r="J51" s="28" t="s">
        <v>1076</v>
      </c>
      <c r="K51" s="29"/>
      <c r="L51" s="29"/>
      <c r="M51" s="30" t="s">
        <v>56</v>
      </c>
      <c r="N51" s="30" t="s">
        <v>262</v>
      </c>
      <c r="O51" s="31" t="s">
        <v>140</v>
      </c>
      <c r="P51" s="32"/>
      <c r="Q51" s="180">
        <v>1</v>
      </c>
      <c r="R51" s="32" t="s">
        <v>522</v>
      </c>
      <c r="S51" s="33"/>
      <c r="T51" s="33"/>
      <c r="U51" s="33">
        <v>263727273</v>
      </c>
      <c r="V51" s="33"/>
      <c r="W51" s="34"/>
      <c r="X51" s="35"/>
      <c r="Y51" s="34"/>
      <c r="Z51" s="35"/>
      <c r="AA51" s="36">
        <v>6000000</v>
      </c>
      <c r="AB51" s="36">
        <f t="shared" si="17"/>
        <v>6000000</v>
      </c>
      <c r="AC51" s="37">
        <f t="shared" si="18"/>
        <v>6000000</v>
      </c>
      <c r="AD51" s="40">
        <f t="shared" si="11"/>
        <v>6000000</v>
      </c>
      <c r="AE51" s="37"/>
      <c r="AF51" s="37"/>
      <c r="AG51" s="37"/>
      <c r="AH51" s="33"/>
      <c r="AI51" s="38"/>
      <c r="AJ51" s="39"/>
      <c r="AK51" s="31" t="s">
        <v>250</v>
      </c>
      <c r="AL51" s="181">
        <f>IF(E51&gt;=DATE(2026,4,1),IF(OR($AK51="Khách hàng thông thường",$AK51="Khách hàng chuyển đổi xe xăng"),IFERROR(VLOOKUP($M51,'[1]CSBH THƯỞNG XE'!$U$3:$YY$800,3,0),0),IF($AK51="Khách hàng Khối Quân đội - Công An",IFERROR(VLOOKUP($M51,'[1]CSBH THƯỞNG XE'!$U$3:$X$600,4,0),0),IF($AK51="Khách hàng Giờ trái đất",IFERROR(VLOOKUP($M51,'[1]CSBH THƯỞNG XE'!$U$3:$Y$700,5,0),0),0))),0)</f>
        <v>8500000</v>
      </c>
      <c r="AM51" s="181"/>
      <c r="AN51" s="181"/>
      <c r="AO51" s="182">
        <f t="shared" si="12"/>
        <v>1500000</v>
      </c>
      <c r="AP51" s="182">
        <f t="shared" si="13"/>
        <v>1500000</v>
      </c>
      <c r="AQ51" s="183">
        <f t="shared" si="14"/>
        <v>1500000</v>
      </c>
      <c r="AR51" s="46">
        <f t="shared" si="7"/>
        <v>0</v>
      </c>
      <c r="AS51" s="46">
        <f t="shared" si="8"/>
        <v>0</v>
      </c>
      <c r="AT51" s="46">
        <v>0</v>
      </c>
      <c r="AU51" s="46">
        <v>0</v>
      </c>
      <c r="AV51" s="47"/>
      <c r="AW51" s="279"/>
      <c r="AX51" s="279"/>
      <c r="AZ51" s="280"/>
      <c r="BA51" s="281" t="s">
        <v>1981</v>
      </c>
      <c r="BB51" s="282">
        <f>VLOOKUP(H51,[1]NVKD!$C$1:$M$3296,11,0)</f>
        <v>6</v>
      </c>
      <c r="BC51" s="281" t="s">
        <v>1982</v>
      </c>
      <c r="BD51" s="283" t="str">
        <f t="shared" si="9"/>
        <v>Showroom 50 Nguyễn Văn Tăng</v>
      </c>
      <c r="BF51" s="284">
        <f t="shared" si="10"/>
        <v>0</v>
      </c>
      <c r="BG51" s="284">
        <f>IFERROR(IF(Y51=0,0, IF(Y51 / VLOOKUP(M51,'[1]CSBH THƯỞNG XE'!$U$3:$AA$1100,7,FALSE) &lt; 0.5,0,MIN((Y51 / VLOOKUP(M51,'[1]CSBH THƯỞNG XE'!$U$3:$AA$1100,7,FALSE)) * 20%,20%))),0)</f>
        <v>0</v>
      </c>
      <c r="BI51" s="263"/>
    </row>
    <row r="52" spans="1:61" ht="20.149999999999999" customHeight="1">
      <c r="A52" s="178">
        <v>46110</v>
      </c>
      <c r="B52" s="179">
        <f t="shared" si="2"/>
        <v>29</v>
      </c>
      <c r="C52" s="179">
        <f t="shared" si="3"/>
        <v>3</v>
      </c>
      <c r="D52" s="179">
        <f t="shared" si="4"/>
        <v>2026</v>
      </c>
      <c r="E52" s="178">
        <v>46126</v>
      </c>
      <c r="F52" s="26" t="s">
        <v>1077</v>
      </c>
      <c r="G52" s="27" t="s">
        <v>263</v>
      </c>
      <c r="H52" s="28" t="s">
        <v>461</v>
      </c>
      <c r="I52" s="28" t="s">
        <v>264</v>
      </c>
      <c r="J52" s="28" t="s">
        <v>462</v>
      </c>
      <c r="K52" s="29"/>
      <c r="L52" s="29"/>
      <c r="M52" s="30" t="s">
        <v>114</v>
      </c>
      <c r="N52" s="30" t="s">
        <v>274</v>
      </c>
      <c r="O52" s="31" t="s">
        <v>148</v>
      </c>
      <c r="P52" s="32"/>
      <c r="Q52" s="180">
        <v>1</v>
      </c>
      <c r="R52" s="32" t="s">
        <v>464</v>
      </c>
      <c r="S52" s="33"/>
      <c r="T52" s="33"/>
      <c r="U52" s="33">
        <v>629145455</v>
      </c>
      <c r="V52" s="33"/>
      <c r="W52" s="34">
        <v>9842759</v>
      </c>
      <c r="X52" s="35"/>
      <c r="Y52" s="34"/>
      <c r="Z52" s="35"/>
      <c r="AA52" s="36">
        <v>0</v>
      </c>
      <c r="AB52" s="36">
        <f t="shared" si="17"/>
        <v>0</v>
      </c>
      <c r="AC52" s="37">
        <f t="shared" si="18"/>
        <v>0</v>
      </c>
      <c r="AD52" s="40">
        <f t="shared" si="11"/>
        <v>0</v>
      </c>
      <c r="AE52" s="37"/>
      <c r="AF52" s="37"/>
      <c r="AG52" s="37"/>
      <c r="AH52" s="33"/>
      <c r="AI52" s="38"/>
      <c r="AJ52" s="39"/>
      <c r="AK52" s="31" t="s">
        <v>250</v>
      </c>
      <c r="AL52" s="181">
        <f>IF(E52&gt;=DATE(2026,4,1),IF(OR($AK52="Khách hàng thông thường",$AK52="Khách hàng chuyển đổi xe xăng"),IFERROR(VLOOKUP($M52,'[1]CSBH THƯỞNG XE'!$U$3:$YY$800,3,0),0),IF($AK52="Khách hàng Khối Quân đội - Công An",IFERROR(VLOOKUP($M52,'[1]CSBH THƯỞNG XE'!$U$3:$X$600,4,0),0),IF($AK52="Khách hàng Giờ trái đất",IFERROR(VLOOKUP($M52,'[1]CSBH THƯỞNG XE'!$U$3:$Y$700,5,0),0),0))),0)</f>
        <v>19000000</v>
      </c>
      <c r="AM52" s="181"/>
      <c r="AN52" s="181"/>
      <c r="AO52" s="182">
        <f t="shared" si="12"/>
        <v>15200000</v>
      </c>
      <c r="AP52" s="182">
        <f t="shared" si="13"/>
        <v>15200000</v>
      </c>
      <c r="AQ52" s="183">
        <f t="shared" si="14"/>
        <v>18200000</v>
      </c>
      <c r="AR52" s="46">
        <f t="shared" si="7"/>
        <v>0</v>
      </c>
      <c r="AS52" s="46">
        <f t="shared" si="8"/>
        <v>3000000</v>
      </c>
      <c r="AT52" s="46">
        <v>12000000</v>
      </c>
      <c r="AU52" s="46">
        <v>9842759</v>
      </c>
      <c r="AV52" s="47"/>
      <c r="AW52" s="279"/>
      <c r="AX52" s="279"/>
      <c r="AZ52" s="280"/>
      <c r="BA52" s="281" t="s">
        <v>1983</v>
      </c>
      <c r="BB52" s="282">
        <f>VLOOKUP(H52,[1]NVKD!$C$1:$M$3296,11,0)</f>
        <v>4</v>
      </c>
      <c r="BC52" s="281" t="s">
        <v>1984</v>
      </c>
      <c r="BD52" s="283" t="str">
        <f t="shared" si="9"/>
        <v>Showroom Quang Trung</v>
      </c>
      <c r="BF52" s="284">
        <f t="shared" si="10"/>
        <v>0.2</v>
      </c>
      <c r="BG52" s="284">
        <f>IFERROR(IF(Y52=0,0, IF(Y52 / VLOOKUP(M52,'[1]CSBH THƯỞNG XE'!$U$3:$AA$1100,7,FALSE) &lt; 0.5,0,MIN((Y52 / VLOOKUP(M52,'[1]CSBH THƯỞNG XE'!$U$3:$AA$1100,7,FALSE)) * 20%,20%))),0)</f>
        <v>0</v>
      </c>
      <c r="BI52" s="263"/>
    </row>
    <row r="53" spans="1:61" ht="20.149999999999999" customHeight="1">
      <c r="A53" s="178">
        <v>46111</v>
      </c>
      <c r="B53" s="179">
        <f t="shared" si="2"/>
        <v>30</v>
      </c>
      <c r="C53" s="179">
        <f t="shared" si="3"/>
        <v>3</v>
      </c>
      <c r="D53" s="179">
        <f t="shared" si="4"/>
        <v>2026</v>
      </c>
      <c r="E53" s="178">
        <v>46126</v>
      </c>
      <c r="F53" s="26" t="s">
        <v>1078</v>
      </c>
      <c r="G53" s="27" t="s">
        <v>246</v>
      </c>
      <c r="H53" s="28" t="s">
        <v>137</v>
      </c>
      <c r="I53" s="28" t="s">
        <v>247</v>
      </c>
      <c r="J53" s="28" t="s">
        <v>654</v>
      </c>
      <c r="K53" s="29"/>
      <c r="L53" s="29"/>
      <c r="M53" s="30" t="s">
        <v>257</v>
      </c>
      <c r="N53" s="30" t="s">
        <v>275</v>
      </c>
      <c r="O53" s="31" t="s">
        <v>117</v>
      </c>
      <c r="P53" s="32"/>
      <c r="Q53" s="180">
        <v>1</v>
      </c>
      <c r="R53" s="32" t="s">
        <v>656</v>
      </c>
      <c r="S53" s="33"/>
      <c r="T53" s="33"/>
      <c r="U53" s="33">
        <v>744545455</v>
      </c>
      <c r="V53" s="33"/>
      <c r="W53" s="34"/>
      <c r="X53" s="35"/>
      <c r="Y53" s="34"/>
      <c r="Z53" s="35"/>
      <c r="AA53" s="36">
        <v>0</v>
      </c>
      <c r="AB53" s="36">
        <f t="shared" si="17"/>
        <v>0</v>
      </c>
      <c r="AC53" s="37">
        <f t="shared" si="18"/>
        <v>0</v>
      </c>
      <c r="AD53" s="40">
        <f t="shared" si="11"/>
        <v>0</v>
      </c>
      <c r="AE53" s="37"/>
      <c r="AF53" s="37"/>
      <c r="AG53" s="37"/>
      <c r="AH53" s="33"/>
      <c r="AI53" s="38"/>
      <c r="AJ53" s="39"/>
      <c r="AK53" s="31" t="s">
        <v>250</v>
      </c>
      <c r="AL53" s="181">
        <f>IF(E53&gt;=DATE(2026,4,1),IF(OR($AK53="Khách hàng thông thường",$AK53="Khách hàng chuyển đổi xe xăng"),IFERROR(VLOOKUP($M53,'[1]CSBH THƯỞNG XE'!$U$3:$YY$800,3,0),0),IF($AK53="Khách hàng Khối Quân đội - Công An",IFERROR(VLOOKUP($M53,'[1]CSBH THƯỞNG XE'!$U$3:$X$600,4,0),0),IF($AK53="Khách hàng Giờ trái đất",IFERROR(VLOOKUP($M53,'[1]CSBH THƯỞNG XE'!$U$3:$Y$700,5,0),0),0))),0)</f>
        <v>20000000</v>
      </c>
      <c r="AM53" s="181"/>
      <c r="AN53" s="181"/>
      <c r="AO53" s="182">
        <f t="shared" si="12"/>
        <v>12000000</v>
      </c>
      <c r="AP53" s="182">
        <f t="shared" si="13"/>
        <v>12000000</v>
      </c>
      <c r="AQ53" s="183">
        <f t="shared" si="14"/>
        <v>12000000</v>
      </c>
      <c r="AR53" s="46">
        <f t="shared" si="7"/>
        <v>0</v>
      </c>
      <c r="AS53" s="46">
        <f t="shared" si="8"/>
        <v>0</v>
      </c>
      <c r="AT53" s="46">
        <v>0</v>
      </c>
      <c r="AU53" s="46">
        <v>0</v>
      </c>
      <c r="AV53" s="47"/>
      <c r="AW53" s="279"/>
      <c r="AX53" s="279"/>
      <c r="AZ53" s="280"/>
      <c r="BA53" s="281" t="s">
        <v>1981</v>
      </c>
      <c r="BB53" s="282">
        <f>VLOOKUP(H53,[1]NVKD!$C$1:$M$3296,11,0)</f>
        <v>3</v>
      </c>
      <c r="BC53" s="281" t="s">
        <v>1982</v>
      </c>
      <c r="BD53" s="283" t="str">
        <f t="shared" si="9"/>
        <v>Showroom Bến Lức</v>
      </c>
      <c r="BF53" s="284">
        <f t="shared" si="10"/>
        <v>0</v>
      </c>
      <c r="BG53" s="284">
        <f>IFERROR(IF(Y53=0,0, IF(Y53 / VLOOKUP(M53,'[1]CSBH THƯỞNG XE'!$U$3:$AA$1100,7,FALSE) &lt; 0.5,0,MIN((Y53 / VLOOKUP(M53,'[1]CSBH THƯỞNG XE'!$U$3:$AA$1100,7,FALSE)) * 20%,20%))),0)</f>
        <v>0</v>
      </c>
      <c r="BI53" s="263"/>
    </row>
    <row r="54" spans="1:61" ht="20.149999999999999" customHeight="1">
      <c r="A54" s="178">
        <v>46118</v>
      </c>
      <c r="B54" s="179">
        <f t="shared" si="2"/>
        <v>6</v>
      </c>
      <c r="C54" s="179">
        <f t="shared" si="3"/>
        <v>4</v>
      </c>
      <c r="D54" s="179">
        <f t="shared" si="4"/>
        <v>2026</v>
      </c>
      <c r="E54" s="178">
        <v>46126</v>
      </c>
      <c r="F54" s="26" t="s">
        <v>1079</v>
      </c>
      <c r="G54" s="27" t="s">
        <v>258</v>
      </c>
      <c r="H54" s="28" t="s">
        <v>187</v>
      </c>
      <c r="I54" s="28" t="s">
        <v>261</v>
      </c>
      <c r="J54" s="28" t="s">
        <v>1080</v>
      </c>
      <c r="K54" s="29"/>
      <c r="L54" s="29"/>
      <c r="M54" s="30" t="s">
        <v>114</v>
      </c>
      <c r="N54" s="30" t="s">
        <v>255</v>
      </c>
      <c r="O54" s="31" t="s">
        <v>114</v>
      </c>
      <c r="P54" s="32"/>
      <c r="Q54" s="180">
        <v>1</v>
      </c>
      <c r="R54" s="32" t="s">
        <v>529</v>
      </c>
      <c r="S54" s="33"/>
      <c r="T54" s="33"/>
      <c r="U54" s="33">
        <v>619627273</v>
      </c>
      <c r="V54" s="33"/>
      <c r="W54" s="34">
        <v>11790000</v>
      </c>
      <c r="X54" s="35"/>
      <c r="Y54" s="34"/>
      <c r="Z54" s="35"/>
      <c r="AA54" s="36">
        <v>0</v>
      </c>
      <c r="AB54" s="36">
        <f t="shared" si="17"/>
        <v>0</v>
      </c>
      <c r="AC54" s="37">
        <f t="shared" si="18"/>
        <v>0</v>
      </c>
      <c r="AD54" s="40">
        <f t="shared" si="11"/>
        <v>0</v>
      </c>
      <c r="AE54" s="37"/>
      <c r="AF54" s="37"/>
      <c r="AG54" s="37"/>
      <c r="AH54" s="33"/>
      <c r="AI54" s="38"/>
      <c r="AJ54" s="39"/>
      <c r="AK54" s="31" t="s">
        <v>250</v>
      </c>
      <c r="AL54" s="181">
        <f>IF(E54&gt;=DATE(2026,4,1),IF(OR($AK54="Khách hàng thông thường",$AK54="Khách hàng chuyển đổi xe xăng"),IFERROR(VLOOKUP($M54,'[1]CSBH THƯỞNG XE'!$U$3:$YY$800,3,0),0),IF($AK54="Khách hàng Khối Quân đội - Công An",IFERROR(VLOOKUP($M54,'[1]CSBH THƯỞNG XE'!$U$3:$X$600,4,0),0),IF($AK54="Khách hàng Giờ trái đất",IFERROR(VLOOKUP($M54,'[1]CSBH THƯỞNG XE'!$U$3:$Y$700,5,0),0),0))),0)</f>
        <v>19000000</v>
      </c>
      <c r="AM54" s="181"/>
      <c r="AN54" s="181"/>
      <c r="AO54" s="182">
        <f t="shared" si="12"/>
        <v>15200000</v>
      </c>
      <c r="AP54" s="182">
        <f t="shared" si="13"/>
        <v>15200000</v>
      </c>
      <c r="AQ54" s="183">
        <f t="shared" si="14"/>
        <v>15200000</v>
      </c>
      <c r="AR54" s="46">
        <f t="shared" si="7"/>
        <v>0</v>
      </c>
      <c r="AS54" s="46">
        <f t="shared" si="8"/>
        <v>0</v>
      </c>
      <c r="AT54" s="46">
        <v>0</v>
      </c>
      <c r="AU54" s="46">
        <v>11790000</v>
      </c>
      <c r="AV54" s="47"/>
      <c r="AW54" s="279"/>
      <c r="AX54" s="279"/>
      <c r="AZ54" s="280"/>
      <c r="BA54" s="281" t="s">
        <v>1983</v>
      </c>
      <c r="BB54" s="282">
        <f>VLOOKUP(H54,[1]NVKD!$C$1:$M$3296,11,0)</f>
        <v>8</v>
      </c>
      <c r="BC54" s="281" t="s">
        <v>1982</v>
      </c>
      <c r="BD54" s="283" t="str">
        <f t="shared" si="9"/>
        <v>Showroom 50 Nguyễn Văn Tăng</v>
      </c>
      <c r="BF54" s="284">
        <f t="shared" si="10"/>
        <v>0.2</v>
      </c>
      <c r="BG54" s="284">
        <f>IFERROR(IF(Y54=0,0, IF(Y54 / VLOOKUP(M54,'[1]CSBH THƯỞNG XE'!$U$3:$AA$1100,7,FALSE) &lt; 0.5,0,MIN((Y54 / VLOOKUP(M54,'[1]CSBH THƯỞNG XE'!$U$3:$AA$1100,7,FALSE)) * 20%,20%))),0)</f>
        <v>0</v>
      </c>
      <c r="BI54" s="263"/>
    </row>
    <row r="55" spans="1:61" ht="20.149999999999999" customHeight="1">
      <c r="A55" s="178">
        <v>46114</v>
      </c>
      <c r="B55" s="179">
        <f t="shared" si="2"/>
        <v>2</v>
      </c>
      <c r="C55" s="179">
        <f t="shared" si="3"/>
        <v>4</v>
      </c>
      <c r="D55" s="179">
        <f t="shared" si="4"/>
        <v>2026</v>
      </c>
      <c r="E55" s="178">
        <v>46127</v>
      </c>
      <c r="F55" s="26" t="s">
        <v>1081</v>
      </c>
      <c r="G55" s="27" t="s">
        <v>251</v>
      </c>
      <c r="H55" s="28" t="s">
        <v>279</v>
      </c>
      <c r="I55" s="28" t="s">
        <v>265</v>
      </c>
      <c r="J55" s="28" t="s">
        <v>435</v>
      </c>
      <c r="K55" s="29"/>
      <c r="L55" s="29"/>
      <c r="M55" s="30" t="s">
        <v>55</v>
      </c>
      <c r="N55" s="30" t="s">
        <v>256</v>
      </c>
      <c r="O55" s="31" t="s">
        <v>162</v>
      </c>
      <c r="P55" s="32"/>
      <c r="Q55" s="180">
        <v>1</v>
      </c>
      <c r="R55" s="32" t="s">
        <v>437</v>
      </c>
      <c r="S55" s="33"/>
      <c r="T55" s="33"/>
      <c r="U55" s="33">
        <v>236363636</v>
      </c>
      <c r="V55" s="33"/>
      <c r="W55" s="34"/>
      <c r="X55" s="35"/>
      <c r="Y55" s="34"/>
      <c r="Z55" s="35"/>
      <c r="AA55" s="36">
        <v>4100000</v>
      </c>
      <c r="AB55" s="36">
        <f t="shared" si="17"/>
        <v>4100000</v>
      </c>
      <c r="AC55" s="37">
        <f t="shared" si="18"/>
        <v>4100000</v>
      </c>
      <c r="AD55" s="40">
        <f t="shared" si="11"/>
        <v>4100000</v>
      </c>
      <c r="AE55" s="37"/>
      <c r="AF55" s="37"/>
      <c r="AG55" s="37"/>
      <c r="AH55" s="33"/>
      <c r="AI55" s="38"/>
      <c r="AJ55" s="39"/>
      <c r="AK55" s="31" t="s">
        <v>250</v>
      </c>
      <c r="AL55" s="181">
        <f>IF(E55&gt;=DATE(2026,4,1),IF(OR($AK55="Khách hàng thông thường",$AK55="Khách hàng chuyển đổi xe xăng"),IFERROR(VLOOKUP($M55,'[1]CSBH THƯỞNG XE'!$U$3:$YY$800,3,0),0),IF($AK55="Khách hàng Khối Quân đội - Công An",IFERROR(VLOOKUP($M55,'[1]CSBH THƯỞNG XE'!$U$3:$X$600,4,0),0),IF($AK55="Khách hàng Giờ trái đất",IFERROR(VLOOKUP($M55,'[1]CSBH THƯỞNG XE'!$U$3:$Y$700,5,0),0),0))),0)</f>
        <v>8000000</v>
      </c>
      <c r="AM55" s="181"/>
      <c r="AN55" s="181"/>
      <c r="AO55" s="182">
        <f t="shared" si="12"/>
        <v>3120000</v>
      </c>
      <c r="AP55" s="182">
        <f t="shared" si="13"/>
        <v>3120000</v>
      </c>
      <c r="AQ55" s="183">
        <f t="shared" si="14"/>
        <v>3120000</v>
      </c>
      <c r="AR55" s="46">
        <f t="shared" si="7"/>
        <v>0</v>
      </c>
      <c r="AS55" s="46">
        <f t="shared" si="8"/>
        <v>0</v>
      </c>
      <c r="AT55" s="46">
        <v>0</v>
      </c>
      <c r="AU55" s="46">
        <v>0</v>
      </c>
      <c r="AV55" s="47"/>
      <c r="AW55" s="279"/>
      <c r="AX55" s="279"/>
      <c r="AZ55" s="280"/>
      <c r="BA55" s="281" t="s">
        <v>1981</v>
      </c>
      <c r="BB55" s="282">
        <f>VLOOKUP(H55,[1]NVKD!$C$1:$M$3296,11,0)</f>
        <v>4</v>
      </c>
      <c r="BC55" s="281" t="s">
        <v>1984</v>
      </c>
      <c r="BD55" s="283" t="str">
        <f t="shared" si="9"/>
        <v>Showroom Tân An</v>
      </c>
      <c r="BF55" s="284">
        <f t="shared" si="10"/>
        <v>0.2</v>
      </c>
      <c r="BG55" s="284">
        <f>IFERROR(IF(Y55=0,0, IF(Y55 / VLOOKUP(M55,'[1]CSBH THƯỞNG XE'!$U$3:$AA$1100,7,FALSE) &lt; 0.5,0,MIN((Y55 / VLOOKUP(M55,'[1]CSBH THƯỞNG XE'!$U$3:$AA$1100,7,FALSE)) * 20%,20%))),0)</f>
        <v>0</v>
      </c>
      <c r="BI55" s="263"/>
    </row>
    <row r="56" spans="1:61" ht="20.149999999999999" customHeight="1">
      <c r="A56" s="178">
        <v>46116</v>
      </c>
      <c r="B56" s="179">
        <f t="shared" si="2"/>
        <v>4</v>
      </c>
      <c r="C56" s="179">
        <f t="shared" si="3"/>
        <v>4</v>
      </c>
      <c r="D56" s="179">
        <f t="shared" si="4"/>
        <v>2026</v>
      </c>
      <c r="E56" s="178">
        <v>46127</v>
      </c>
      <c r="F56" s="26" t="s">
        <v>1082</v>
      </c>
      <c r="G56" s="27" t="s">
        <v>251</v>
      </c>
      <c r="H56" s="28" t="s">
        <v>118</v>
      </c>
      <c r="I56" s="28" t="s">
        <v>265</v>
      </c>
      <c r="J56" s="28" t="s">
        <v>23</v>
      </c>
      <c r="K56" s="29"/>
      <c r="L56" s="29"/>
      <c r="M56" s="30" t="s">
        <v>276</v>
      </c>
      <c r="N56" s="30" t="s">
        <v>255</v>
      </c>
      <c r="O56" s="31" t="s">
        <v>160</v>
      </c>
      <c r="P56" s="32"/>
      <c r="Q56" s="180">
        <v>1</v>
      </c>
      <c r="R56" s="32" t="s">
        <v>445</v>
      </c>
      <c r="S56" s="33"/>
      <c r="T56" s="33"/>
      <c r="U56" s="33">
        <v>597982500</v>
      </c>
      <c r="V56" s="33"/>
      <c r="W56" s="34"/>
      <c r="X56" s="35"/>
      <c r="Y56" s="34"/>
      <c r="Z56" s="35"/>
      <c r="AA56" s="36">
        <v>10000000</v>
      </c>
      <c r="AB56" s="36">
        <f t="shared" si="17"/>
        <v>10000000</v>
      </c>
      <c r="AC56" s="37">
        <f t="shared" si="18"/>
        <v>10000000</v>
      </c>
      <c r="AD56" s="40">
        <f t="shared" si="11"/>
        <v>10000000</v>
      </c>
      <c r="AE56" s="37"/>
      <c r="AF56" s="37"/>
      <c r="AG56" s="37"/>
      <c r="AH56" s="33"/>
      <c r="AI56" s="38"/>
      <c r="AJ56" s="39"/>
      <c r="AK56" s="31" t="s">
        <v>250</v>
      </c>
      <c r="AL56" s="181">
        <f>IF(E56&gt;=DATE(2026,4,1),IF(OR($AK56="Khách hàng thông thường",$AK56="Khách hàng chuyển đổi xe xăng"),IFERROR(VLOOKUP($M56,'[1]CSBH THƯỞNG XE'!$U$3:$YY$800,3,0),0),IF($AK56="Khách hàng Khối Quân đội - Công An",IFERROR(VLOOKUP($M56,'[1]CSBH THƯỞNG XE'!$U$3:$X$600,4,0),0),IF($AK56="Khách hàng Giờ trái đất",IFERROR(VLOOKUP($M56,'[1]CSBH THƯỞNG XE'!$U$3:$Y$700,5,0),0),0))),0)</f>
        <v>20000000</v>
      </c>
      <c r="AM56" s="181"/>
      <c r="AN56" s="181"/>
      <c r="AO56" s="182">
        <f t="shared" si="12"/>
        <v>6000000</v>
      </c>
      <c r="AP56" s="182">
        <f t="shared" si="13"/>
        <v>6000000</v>
      </c>
      <c r="AQ56" s="183">
        <f t="shared" si="14"/>
        <v>6000000</v>
      </c>
      <c r="AR56" s="46">
        <f t="shared" si="7"/>
        <v>0</v>
      </c>
      <c r="AS56" s="46">
        <f t="shared" si="8"/>
        <v>0</v>
      </c>
      <c r="AT56" s="46">
        <v>0</v>
      </c>
      <c r="AU56" s="46">
        <v>0</v>
      </c>
      <c r="AV56" s="47"/>
      <c r="AW56" s="279"/>
      <c r="AX56" s="279"/>
      <c r="AZ56" s="280"/>
      <c r="BA56" s="281" t="s">
        <v>1981</v>
      </c>
      <c r="BB56" s="282">
        <f>VLOOKUP(H56,[1]NVKD!$C$1:$M$3296,11,0)</f>
        <v>4</v>
      </c>
      <c r="BC56" s="281" t="s">
        <v>1982</v>
      </c>
      <c r="BD56" s="283" t="str">
        <f t="shared" si="9"/>
        <v>Showroom Tân An</v>
      </c>
      <c r="BF56" s="284">
        <f t="shared" si="10"/>
        <v>0</v>
      </c>
      <c r="BG56" s="284">
        <f>IFERROR(IF(Y56=0,0, IF(Y56 / VLOOKUP(M56,'[1]CSBH THƯỞNG XE'!$U$3:$AA$1100,7,FALSE) &lt; 0.5,0,MIN((Y56 / VLOOKUP(M56,'[1]CSBH THƯỞNG XE'!$U$3:$AA$1100,7,FALSE)) * 20%,20%))),0)</f>
        <v>0</v>
      </c>
      <c r="BI56" s="263"/>
    </row>
    <row r="57" spans="1:61" ht="20.149999999999999" customHeight="1">
      <c r="A57" s="178">
        <v>46111</v>
      </c>
      <c r="B57" s="179">
        <f t="shared" si="2"/>
        <v>30</v>
      </c>
      <c r="C57" s="179">
        <f t="shared" si="3"/>
        <v>3</v>
      </c>
      <c r="D57" s="179">
        <f t="shared" si="4"/>
        <v>2026</v>
      </c>
      <c r="E57" s="178">
        <v>46127</v>
      </c>
      <c r="F57" s="26" t="s">
        <v>1083</v>
      </c>
      <c r="G57" s="27" t="s">
        <v>246</v>
      </c>
      <c r="H57" s="28" t="s">
        <v>132</v>
      </c>
      <c r="I57" s="28" t="s">
        <v>247</v>
      </c>
      <c r="J57" s="28" t="s">
        <v>657</v>
      </c>
      <c r="K57" s="29"/>
      <c r="L57" s="29"/>
      <c r="M57" s="30" t="s">
        <v>110</v>
      </c>
      <c r="N57" s="30" t="s">
        <v>255</v>
      </c>
      <c r="O57" s="31" t="s">
        <v>105</v>
      </c>
      <c r="P57" s="32"/>
      <c r="Q57" s="180">
        <v>1</v>
      </c>
      <c r="R57" s="32" t="s">
        <v>659</v>
      </c>
      <c r="S57" s="33"/>
      <c r="T57" s="33"/>
      <c r="U57" s="33">
        <v>457390909</v>
      </c>
      <c r="V57" s="33"/>
      <c r="W57" s="34"/>
      <c r="X57" s="35"/>
      <c r="Y57" s="34"/>
      <c r="Z57" s="35"/>
      <c r="AA57" s="36">
        <v>10000000</v>
      </c>
      <c r="AB57" s="36">
        <f t="shared" si="17"/>
        <v>10000000</v>
      </c>
      <c r="AC57" s="37">
        <f t="shared" si="18"/>
        <v>10000000</v>
      </c>
      <c r="AD57" s="40">
        <f t="shared" si="11"/>
        <v>10000000</v>
      </c>
      <c r="AE57" s="37"/>
      <c r="AF57" s="37"/>
      <c r="AG57" s="37"/>
      <c r="AH57" s="33"/>
      <c r="AI57" s="38"/>
      <c r="AJ57" s="39"/>
      <c r="AK57" s="31" t="s">
        <v>250</v>
      </c>
      <c r="AL57" s="181">
        <f>IF(E57&gt;=DATE(2026,4,1),IF(OR($AK57="Khách hàng thông thường",$AK57="Khách hàng chuyển đổi xe xăng"),IFERROR(VLOOKUP($M57,'[1]CSBH THƯỞNG XE'!$U$3:$YY$800,3,0),0),IF($AK57="Khách hàng Khối Quân đội - Công An",IFERROR(VLOOKUP($M57,'[1]CSBH THƯỞNG XE'!$U$3:$X$600,4,0),0),IF($AK57="Khách hàng Giờ trái đất",IFERROR(VLOOKUP($M57,'[1]CSBH THƯỞNG XE'!$U$3:$Y$700,5,0),0),0))),0)</f>
        <v>16000000</v>
      </c>
      <c r="AM57" s="181"/>
      <c r="AN57" s="181"/>
      <c r="AO57" s="182">
        <f t="shared" si="12"/>
        <v>3600000</v>
      </c>
      <c r="AP57" s="182">
        <f t="shared" si="13"/>
        <v>3600000</v>
      </c>
      <c r="AQ57" s="183">
        <f t="shared" si="14"/>
        <v>3600000</v>
      </c>
      <c r="AR57" s="46">
        <f t="shared" si="7"/>
        <v>0</v>
      </c>
      <c r="AS57" s="46">
        <f t="shared" si="8"/>
        <v>0</v>
      </c>
      <c r="AT57" s="46">
        <v>0</v>
      </c>
      <c r="AU57" s="46">
        <v>0</v>
      </c>
      <c r="AV57" s="47"/>
      <c r="AW57" s="279"/>
      <c r="AX57" s="279"/>
      <c r="AZ57" s="280"/>
      <c r="BA57" s="281" t="s">
        <v>1983</v>
      </c>
      <c r="BB57" s="282">
        <f>VLOOKUP(H57,[1]NVKD!$C$1:$M$3296,11,0)</f>
        <v>10</v>
      </c>
      <c r="BC57" s="281" t="s">
        <v>1982</v>
      </c>
      <c r="BD57" s="283" t="str">
        <f t="shared" si="9"/>
        <v>Showroom Bến Lức</v>
      </c>
      <c r="BF57" s="284">
        <f t="shared" si="10"/>
        <v>0</v>
      </c>
      <c r="BG57" s="284">
        <f>IFERROR(IF(Y57=0,0, IF(Y57 / VLOOKUP(M57,'[1]CSBH THƯỞNG XE'!$U$3:$AA$1100,7,FALSE) &lt; 0.5,0,MIN((Y57 / VLOOKUP(M57,'[1]CSBH THƯỞNG XE'!$U$3:$AA$1100,7,FALSE)) * 20%,20%))),0)</f>
        <v>0</v>
      </c>
      <c r="BI57" s="263"/>
    </row>
    <row r="58" spans="1:61" ht="20.149999999999999" customHeight="1">
      <c r="A58" s="178">
        <v>46111</v>
      </c>
      <c r="B58" s="179">
        <f t="shared" si="2"/>
        <v>30</v>
      </c>
      <c r="C58" s="179">
        <f t="shared" si="3"/>
        <v>3</v>
      </c>
      <c r="D58" s="179">
        <f t="shared" si="4"/>
        <v>2026</v>
      </c>
      <c r="E58" s="178">
        <v>46128</v>
      </c>
      <c r="F58" s="26" t="s">
        <v>1084</v>
      </c>
      <c r="G58" s="27" t="s">
        <v>263</v>
      </c>
      <c r="H58" s="28" t="s">
        <v>559</v>
      </c>
      <c r="I58" s="28" t="s">
        <v>264</v>
      </c>
      <c r="J58" s="28" t="s">
        <v>577</v>
      </c>
      <c r="K58" s="29"/>
      <c r="L58" s="29"/>
      <c r="M58" s="30" t="s">
        <v>257</v>
      </c>
      <c r="N58" s="30" t="s">
        <v>255</v>
      </c>
      <c r="O58" s="31" t="s">
        <v>150</v>
      </c>
      <c r="P58" s="32"/>
      <c r="Q58" s="180">
        <v>1</v>
      </c>
      <c r="R58" s="32" t="s">
        <v>579</v>
      </c>
      <c r="S58" s="33"/>
      <c r="T58" s="33"/>
      <c r="U58" s="33">
        <v>699872727</v>
      </c>
      <c r="V58" s="33"/>
      <c r="W58" s="34"/>
      <c r="X58" s="35"/>
      <c r="Y58" s="34"/>
      <c r="Z58" s="35"/>
      <c r="AA58" s="36">
        <v>0</v>
      </c>
      <c r="AB58" s="36">
        <f t="shared" si="17"/>
        <v>0</v>
      </c>
      <c r="AC58" s="37">
        <f t="shared" si="18"/>
        <v>0</v>
      </c>
      <c r="AD58" s="40">
        <f t="shared" si="11"/>
        <v>0</v>
      </c>
      <c r="AE58" s="37"/>
      <c r="AF58" s="37"/>
      <c r="AG58" s="37"/>
      <c r="AH58" s="33"/>
      <c r="AI58" s="38"/>
      <c r="AJ58" s="39"/>
      <c r="AK58" s="31" t="s">
        <v>250</v>
      </c>
      <c r="AL58" s="181">
        <f>IF(E58&gt;=DATE(2026,4,1),IF(OR($AK58="Khách hàng thông thường",$AK58="Khách hàng chuyển đổi xe xăng"),IFERROR(VLOOKUP($M58,'[1]CSBH THƯỞNG XE'!$U$3:$YY$800,3,0),0),IF($AK58="Khách hàng Khối Quân đội - Công An",IFERROR(VLOOKUP($M58,'[1]CSBH THƯỞNG XE'!$U$3:$X$600,4,0),0),IF($AK58="Khách hàng Giờ trái đất",IFERROR(VLOOKUP($M58,'[1]CSBH THƯỞNG XE'!$U$3:$Y$700,5,0),0),0))),0)</f>
        <v>20000000</v>
      </c>
      <c r="AM58" s="181"/>
      <c r="AN58" s="181"/>
      <c r="AO58" s="182">
        <f t="shared" si="12"/>
        <v>12000000</v>
      </c>
      <c r="AP58" s="182">
        <f t="shared" si="13"/>
        <v>12000000</v>
      </c>
      <c r="AQ58" s="183">
        <f t="shared" si="14"/>
        <v>12000000</v>
      </c>
      <c r="AR58" s="46">
        <f t="shared" si="7"/>
        <v>0</v>
      </c>
      <c r="AS58" s="46">
        <f t="shared" si="8"/>
        <v>0</v>
      </c>
      <c r="AT58" s="46">
        <v>15000000</v>
      </c>
      <c r="AU58" s="46">
        <v>0</v>
      </c>
      <c r="AV58" s="47"/>
      <c r="AW58" s="279"/>
      <c r="AX58" s="279"/>
      <c r="AZ58" s="280"/>
      <c r="BA58" s="281" t="s">
        <v>1981</v>
      </c>
      <c r="BB58" s="282">
        <f>VLOOKUP(H58,[1]NVKD!$C$1:$M$3296,11,0)</f>
        <v>2</v>
      </c>
      <c r="BC58" s="281" t="s">
        <v>1982</v>
      </c>
      <c r="BD58" s="283" t="str">
        <f t="shared" si="9"/>
        <v>Showroom Quang Trung</v>
      </c>
      <c r="BF58" s="284">
        <f t="shared" si="10"/>
        <v>0</v>
      </c>
      <c r="BG58" s="284">
        <f>IFERROR(IF(Y58=0,0, IF(Y58 / VLOOKUP(M58,'[1]CSBH THƯỞNG XE'!$U$3:$AA$1100,7,FALSE) &lt; 0.5,0,MIN((Y58 / VLOOKUP(M58,'[1]CSBH THƯỞNG XE'!$U$3:$AA$1100,7,FALSE)) * 20%,20%))),0)</f>
        <v>0</v>
      </c>
      <c r="BI58" s="263"/>
    </row>
    <row r="59" spans="1:61" ht="20.149999999999999" customHeight="1">
      <c r="A59" s="178">
        <v>46105</v>
      </c>
      <c r="B59" s="179">
        <f t="shared" si="2"/>
        <v>24</v>
      </c>
      <c r="C59" s="179">
        <f t="shared" si="3"/>
        <v>3</v>
      </c>
      <c r="D59" s="179">
        <f t="shared" si="4"/>
        <v>2026</v>
      </c>
      <c r="E59" s="178">
        <v>46128</v>
      </c>
      <c r="F59" s="26" t="s">
        <v>1085</v>
      </c>
      <c r="G59" s="27" t="s">
        <v>258</v>
      </c>
      <c r="H59" s="28" t="s">
        <v>187</v>
      </c>
      <c r="I59" s="28" t="s">
        <v>261</v>
      </c>
      <c r="J59" s="28" t="s">
        <v>1086</v>
      </c>
      <c r="K59" s="29"/>
      <c r="L59" s="29"/>
      <c r="M59" s="30" t="s">
        <v>56</v>
      </c>
      <c r="N59" s="30" t="s">
        <v>281</v>
      </c>
      <c r="O59" s="31" t="s">
        <v>140</v>
      </c>
      <c r="P59" s="32"/>
      <c r="Q59" s="180">
        <v>1</v>
      </c>
      <c r="R59" s="32" t="s">
        <v>543</v>
      </c>
      <c r="S59" s="33"/>
      <c r="T59" s="33"/>
      <c r="U59" s="33">
        <v>276018182</v>
      </c>
      <c r="V59" s="33"/>
      <c r="W59" s="34"/>
      <c r="X59" s="35"/>
      <c r="Y59" s="34"/>
      <c r="Z59" s="35"/>
      <c r="AA59" s="36">
        <v>0</v>
      </c>
      <c r="AB59" s="36">
        <f t="shared" si="17"/>
        <v>0</v>
      </c>
      <c r="AC59" s="37">
        <f t="shared" si="18"/>
        <v>0</v>
      </c>
      <c r="AD59" s="40">
        <f t="shared" si="11"/>
        <v>0</v>
      </c>
      <c r="AE59" s="37"/>
      <c r="AF59" s="37"/>
      <c r="AG59" s="37"/>
      <c r="AH59" s="33"/>
      <c r="AI59" s="38"/>
      <c r="AJ59" s="39"/>
      <c r="AK59" s="31" t="s">
        <v>250</v>
      </c>
      <c r="AL59" s="181">
        <f>IF(E59&gt;=DATE(2026,4,1),IF(OR($AK59="Khách hàng thông thường",$AK59="Khách hàng chuyển đổi xe xăng"),IFERROR(VLOOKUP($M59,'[1]CSBH THƯỞNG XE'!$U$3:$YY$800,3,0),0),IF($AK59="Khách hàng Khối Quân đội - Công An",IFERROR(VLOOKUP($M59,'[1]CSBH THƯỞNG XE'!$U$3:$X$600,4,0),0),IF($AK59="Khách hàng Giờ trái đất",IFERROR(VLOOKUP($M59,'[1]CSBH THƯỞNG XE'!$U$3:$Y$700,5,0),0),0))),0)</f>
        <v>8500000</v>
      </c>
      <c r="AM59" s="181"/>
      <c r="AN59" s="181"/>
      <c r="AO59" s="182">
        <f t="shared" si="12"/>
        <v>6800000</v>
      </c>
      <c r="AP59" s="182">
        <f t="shared" si="13"/>
        <v>6800000</v>
      </c>
      <c r="AQ59" s="183">
        <f t="shared" si="14"/>
        <v>6800000</v>
      </c>
      <c r="AR59" s="46">
        <f t="shared" si="7"/>
        <v>0</v>
      </c>
      <c r="AS59" s="46">
        <f t="shared" si="8"/>
        <v>0</v>
      </c>
      <c r="AT59" s="46">
        <v>0</v>
      </c>
      <c r="AU59" s="46">
        <v>0</v>
      </c>
      <c r="AV59" s="47"/>
      <c r="AW59" s="279"/>
      <c r="AX59" s="279"/>
      <c r="AZ59" s="280"/>
      <c r="BA59" s="281" t="s">
        <v>1981</v>
      </c>
      <c r="BB59" s="282">
        <f>VLOOKUP(H59,[1]NVKD!$C$1:$M$3296,11,0)</f>
        <v>8</v>
      </c>
      <c r="BC59" s="281" t="s">
        <v>1984</v>
      </c>
      <c r="BD59" s="283" t="str">
        <f t="shared" si="9"/>
        <v>Showroom 50 Nguyễn Văn Tăng</v>
      </c>
      <c r="BF59" s="284">
        <f t="shared" si="10"/>
        <v>0.2</v>
      </c>
      <c r="BG59" s="284">
        <f>IFERROR(IF(Y59=0,0, IF(Y59 / VLOOKUP(M59,'[1]CSBH THƯỞNG XE'!$U$3:$AA$1100,7,FALSE) &lt; 0.5,0,MIN((Y59 / VLOOKUP(M59,'[1]CSBH THƯỞNG XE'!$U$3:$AA$1100,7,FALSE)) * 20%,20%))),0)</f>
        <v>0</v>
      </c>
      <c r="BI59" s="263"/>
    </row>
    <row r="60" spans="1:61" ht="20.149999999999999" customHeight="1">
      <c r="A60" s="178">
        <v>46105</v>
      </c>
      <c r="B60" s="179">
        <f t="shared" si="2"/>
        <v>24</v>
      </c>
      <c r="C60" s="179">
        <f t="shared" si="3"/>
        <v>3</v>
      </c>
      <c r="D60" s="179">
        <f t="shared" si="4"/>
        <v>2026</v>
      </c>
      <c r="E60" s="178">
        <v>46128</v>
      </c>
      <c r="F60" s="26" t="s">
        <v>1087</v>
      </c>
      <c r="G60" s="27" t="s">
        <v>258</v>
      </c>
      <c r="H60" s="28" t="s">
        <v>187</v>
      </c>
      <c r="I60" s="28" t="s">
        <v>261</v>
      </c>
      <c r="J60" s="28" t="s">
        <v>1086</v>
      </c>
      <c r="K60" s="29"/>
      <c r="L60" s="29"/>
      <c r="M60" s="30" t="s">
        <v>56</v>
      </c>
      <c r="N60" s="30" t="s">
        <v>277</v>
      </c>
      <c r="O60" s="31" t="s">
        <v>140</v>
      </c>
      <c r="P60" s="32"/>
      <c r="Q60" s="180">
        <v>1</v>
      </c>
      <c r="R60" s="32" t="s">
        <v>541</v>
      </c>
      <c r="S60" s="33"/>
      <c r="T60" s="33"/>
      <c r="U60" s="33">
        <v>269181818</v>
      </c>
      <c r="V60" s="33"/>
      <c r="W60" s="34"/>
      <c r="X60" s="35"/>
      <c r="Y60" s="34"/>
      <c r="Z60" s="35"/>
      <c r="AA60" s="36">
        <v>0</v>
      </c>
      <c r="AB60" s="36">
        <f t="shared" si="17"/>
        <v>0</v>
      </c>
      <c r="AC60" s="37">
        <f t="shared" si="18"/>
        <v>0</v>
      </c>
      <c r="AD60" s="40">
        <f t="shared" si="11"/>
        <v>0</v>
      </c>
      <c r="AE60" s="37"/>
      <c r="AF60" s="37"/>
      <c r="AG60" s="37"/>
      <c r="AH60" s="33"/>
      <c r="AI60" s="38"/>
      <c r="AJ60" s="39"/>
      <c r="AK60" s="31" t="s">
        <v>250</v>
      </c>
      <c r="AL60" s="181">
        <f>IF(E60&gt;=DATE(2026,4,1),IF(OR($AK60="Khách hàng thông thường",$AK60="Khách hàng chuyển đổi xe xăng"),IFERROR(VLOOKUP($M60,'[1]CSBH THƯỞNG XE'!$U$3:$YY$800,3,0),0),IF($AK60="Khách hàng Khối Quân đội - Công An",IFERROR(VLOOKUP($M60,'[1]CSBH THƯỞNG XE'!$U$3:$X$600,4,0),0),IF($AK60="Khách hàng Giờ trái đất",IFERROR(VLOOKUP($M60,'[1]CSBH THƯỞNG XE'!$U$3:$Y$700,5,0),0),0))),0)</f>
        <v>8500000</v>
      </c>
      <c r="AM60" s="181"/>
      <c r="AN60" s="181"/>
      <c r="AO60" s="182">
        <f t="shared" si="12"/>
        <v>6800000</v>
      </c>
      <c r="AP60" s="182">
        <f t="shared" si="13"/>
        <v>6800000</v>
      </c>
      <c r="AQ60" s="183">
        <f t="shared" si="14"/>
        <v>6800000</v>
      </c>
      <c r="AR60" s="46">
        <f t="shared" si="7"/>
        <v>0</v>
      </c>
      <c r="AS60" s="46">
        <f t="shared" si="8"/>
        <v>0</v>
      </c>
      <c r="AT60" s="46">
        <v>0</v>
      </c>
      <c r="AU60" s="46">
        <v>0</v>
      </c>
      <c r="AV60" s="47"/>
      <c r="AW60" s="279"/>
      <c r="AX60" s="279"/>
      <c r="AZ60" s="280"/>
      <c r="BA60" s="281" t="s">
        <v>1981</v>
      </c>
      <c r="BB60" s="282">
        <f>VLOOKUP(H60,[1]NVKD!$C$1:$M$3296,11,0)</f>
        <v>8</v>
      </c>
      <c r="BC60" s="281" t="s">
        <v>1984</v>
      </c>
      <c r="BD60" s="283" t="str">
        <f t="shared" si="9"/>
        <v>Showroom 50 Nguyễn Văn Tăng</v>
      </c>
      <c r="BF60" s="284">
        <f t="shared" si="10"/>
        <v>0.2</v>
      </c>
      <c r="BG60" s="284">
        <f>IFERROR(IF(Y60=0,0, IF(Y60 / VLOOKUP(M60,'[1]CSBH THƯỞNG XE'!$U$3:$AA$1100,7,FALSE) &lt; 0.5,0,MIN((Y60 / VLOOKUP(M60,'[1]CSBH THƯỞNG XE'!$U$3:$AA$1100,7,FALSE)) * 20%,20%))),0)</f>
        <v>0</v>
      </c>
      <c r="BI60" s="263"/>
    </row>
    <row r="61" spans="1:61" ht="20.149999999999999" customHeight="1">
      <c r="A61" s="178">
        <v>46105</v>
      </c>
      <c r="B61" s="179">
        <f t="shared" si="2"/>
        <v>24</v>
      </c>
      <c r="C61" s="179">
        <f t="shared" si="3"/>
        <v>3</v>
      </c>
      <c r="D61" s="179">
        <f t="shared" si="4"/>
        <v>2026</v>
      </c>
      <c r="E61" s="178">
        <v>46128</v>
      </c>
      <c r="F61" s="26" t="s">
        <v>1088</v>
      </c>
      <c r="G61" s="27" t="s">
        <v>258</v>
      </c>
      <c r="H61" s="28" t="s">
        <v>187</v>
      </c>
      <c r="I61" s="28" t="s">
        <v>261</v>
      </c>
      <c r="J61" s="28" t="s">
        <v>1086</v>
      </c>
      <c r="K61" s="29"/>
      <c r="L61" s="29"/>
      <c r="M61" s="30" t="s">
        <v>56</v>
      </c>
      <c r="N61" s="30" t="s">
        <v>260</v>
      </c>
      <c r="O61" s="31" t="s">
        <v>140</v>
      </c>
      <c r="P61" s="32"/>
      <c r="Q61" s="180">
        <v>1</v>
      </c>
      <c r="R61" s="32" t="s">
        <v>539</v>
      </c>
      <c r="S61" s="33"/>
      <c r="T61" s="33"/>
      <c r="U61" s="33">
        <v>269181818</v>
      </c>
      <c r="V61" s="33"/>
      <c r="W61" s="34"/>
      <c r="X61" s="35"/>
      <c r="Y61" s="34"/>
      <c r="Z61" s="35"/>
      <c r="AA61" s="36">
        <v>0</v>
      </c>
      <c r="AB61" s="36">
        <f t="shared" si="17"/>
        <v>0</v>
      </c>
      <c r="AC61" s="37">
        <f t="shared" si="18"/>
        <v>0</v>
      </c>
      <c r="AD61" s="40">
        <f t="shared" si="11"/>
        <v>0</v>
      </c>
      <c r="AE61" s="37"/>
      <c r="AF61" s="37"/>
      <c r="AG61" s="37"/>
      <c r="AH61" s="33"/>
      <c r="AI61" s="38"/>
      <c r="AJ61" s="39"/>
      <c r="AK61" s="31" t="s">
        <v>250</v>
      </c>
      <c r="AL61" s="181">
        <f>IF(E61&gt;=DATE(2026,4,1),IF(OR($AK61="Khách hàng thông thường",$AK61="Khách hàng chuyển đổi xe xăng"),IFERROR(VLOOKUP($M61,'[1]CSBH THƯỞNG XE'!$U$3:$YY$800,3,0),0),IF($AK61="Khách hàng Khối Quân đội - Công An",IFERROR(VLOOKUP($M61,'[1]CSBH THƯỞNG XE'!$U$3:$X$600,4,0),0),IF($AK61="Khách hàng Giờ trái đất",IFERROR(VLOOKUP($M61,'[1]CSBH THƯỞNG XE'!$U$3:$Y$700,5,0),0),0))),0)</f>
        <v>8500000</v>
      </c>
      <c r="AM61" s="181"/>
      <c r="AN61" s="181"/>
      <c r="AO61" s="182">
        <f t="shared" si="12"/>
        <v>6800000</v>
      </c>
      <c r="AP61" s="182">
        <f t="shared" si="13"/>
        <v>6800000</v>
      </c>
      <c r="AQ61" s="183">
        <f t="shared" si="14"/>
        <v>6800000</v>
      </c>
      <c r="AR61" s="46">
        <f t="shared" si="7"/>
        <v>0</v>
      </c>
      <c r="AS61" s="46">
        <f t="shared" si="8"/>
        <v>0</v>
      </c>
      <c r="AT61" s="46">
        <v>0</v>
      </c>
      <c r="AU61" s="46">
        <v>0</v>
      </c>
      <c r="AV61" s="47"/>
      <c r="AW61" s="279"/>
      <c r="AX61" s="279"/>
      <c r="AZ61" s="280"/>
      <c r="BA61" s="281" t="s">
        <v>1981</v>
      </c>
      <c r="BB61" s="282">
        <f>VLOOKUP(H61,[1]NVKD!$C$1:$M$3296,11,0)</f>
        <v>8</v>
      </c>
      <c r="BC61" s="281" t="s">
        <v>1984</v>
      </c>
      <c r="BD61" s="283" t="str">
        <f t="shared" si="9"/>
        <v>Showroom 50 Nguyễn Văn Tăng</v>
      </c>
      <c r="BF61" s="284">
        <f t="shared" si="10"/>
        <v>0.2</v>
      </c>
      <c r="BG61" s="284">
        <f>IFERROR(IF(Y61=0,0, IF(Y61 / VLOOKUP(M61,'[1]CSBH THƯỞNG XE'!$U$3:$AA$1100,7,FALSE) &lt; 0.5,0,MIN((Y61 / VLOOKUP(M61,'[1]CSBH THƯỞNG XE'!$U$3:$AA$1100,7,FALSE)) * 20%,20%))),0)</f>
        <v>0</v>
      </c>
      <c r="BI61" s="263"/>
    </row>
    <row r="62" spans="1:61" ht="20.149999999999999" customHeight="1">
      <c r="A62" s="178">
        <v>46102</v>
      </c>
      <c r="B62" s="179">
        <f t="shared" si="2"/>
        <v>21</v>
      </c>
      <c r="C62" s="179">
        <f t="shared" si="3"/>
        <v>3</v>
      </c>
      <c r="D62" s="179">
        <f t="shared" si="4"/>
        <v>2026</v>
      </c>
      <c r="E62" s="178">
        <v>46129</v>
      </c>
      <c r="F62" s="26" t="s">
        <v>1089</v>
      </c>
      <c r="G62" s="27" t="s">
        <v>263</v>
      </c>
      <c r="H62" s="28" t="s">
        <v>457</v>
      </c>
      <c r="I62" s="28" t="s">
        <v>273</v>
      </c>
      <c r="J62" s="28" t="s">
        <v>568</v>
      </c>
      <c r="K62" s="29"/>
      <c r="L62" s="29"/>
      <c r="M62" s="30" t="s">
        <v>56</v>
      </c>
      <c r="N62" s="30" t="s">
        <v>1090</v>
      </c>
      <c r="O62" s="31" t="s">
        <v>105</v>
      </c>
      <c r="P62" s="32"/>
      <c r="Q62" s="180">
        <v>1</v>
      </c>
      <c r="R62" s="32" t="s">
        <v>570</v>
      </c>
      <c r="S62" s="33"/>
      <c r="T62" s="33"/>
      <c r="U62" s="33">
        <v>261754545</v>
      </c>
      <c r="V62" s="33"/>
      <c r="W62" s="34"/>
      <c r="X62" s="35"/>
      <c r="Y62" s="34"/>
      <c r="Z62" s="35"/>
      <c r="AA62" s="36">
        <v>6000000</v>
      </c>
      <c r="AB62" s="36">
        <f t="shared" si="17"/>
        <v>6000000</v>
      </c>
      <c r="AC62" s="37">
        <f t="shared" si="18"/>
        <v>6000000</v>
      </c>
      <c r="AD62" s="40">
        <f t="shared" si="11"/>
        <v>6000000</v>
      </c>
      <c r="AE62" s="37"/>
      <c r="AF62" s="37"/>
      <c r="AG62" s="37"/>
      <c r="AH62" s="33"/>
      <c r="AI62" s="38"/>
      <c r="AJ62" s="39"/>
      <c r="AK62" s="31" t="s">
        <v>250</v>
      </c>
      <c r="AL62" s="181">
        <f>IF(E62&gt;=DATE(2026,4,1),IF(OR($AK62="Khách hàng thông thường",$AK62="Khách hàng chuyển đổi xe xăng"),IFERROR(VLOOKUP($M62,'[1]CSBH THƯỞNG XE'!$U$3:$YY$800,3,0),0),IF($AK62="Khách hàng Khối Quân đội - Công An",IFERROR(VLOOKUP($M62,'[1]CSBH THƯỞNG XE'!$U$3:$X$600,4,0),0),IF($AK62="Khách hàng Giờ trái đất",IFERROR(VLOOKUP($M62,'[1]CSBH THƯỞNG XE'!$U$3:$Y$700,5,0),0),0))),0)</f>
        <v>8500000</v>
      </c>
      <c r="AM62" s="181"/>
      <c r="AN62" s="181"/>
      <c r="AO62" s="182">
        <f t="shared" si="12"/>
        <v>2000000</v>
      </c>
      <c r="AP62" s="182">
        <f t="shared" si="13"/>
        <v>2000000</v>
      </c>
      <c r="AQ62" s="183">
        <f t="shared" si="14"/>
        <v>2000000</v>
      </c>
      <c r="AR62" s="46">
        <f t="shared" si="7"/>
        <v>0</v>
      </c>
      <c r="AS62" s="46">
        <f t="shared" si="8"/>
        <v>0</v>
      </c>
      <c r="AT62" s="46">
        <v>0</v>
      </c>
      <c r="AU62" s="46">
        <v>0</v>
      </c>
      <c r="AV62" s="47"/>
      <c r="AW62" s="279"/>
      <c r="AX62" s="279"/>
      <c r="AZ62" s="280"/>
      <c r="BA62" s="281" t="s">
        <v>1981</v>
      </c>
      <c r="BB62" s="282">
        <f>VLOOKUP(H62,[1]NVKD!$C$1:$M$3296,11,0)</f>
        <v>4</v>
      </c>
      <c r="BC62" s="281" t="s">
        <v>1984</v>
      </c>
      <c r="BD62" s="283" t="str">
        <f t="shared" si="9"/>
        <v>Showroom Quang Trung</v>
      </c>
      <c r="BF62" s="284">
        <f t="shared" si="10"/>
        <v>0.2</v>
      </c>
      <c r="BG62" s="284">
        <f>IFERROR(IF(Y62=0,0, IF(Y62 / VLOOKUP(M62,'[1]CSBH THƯỞNG XE'!$U$3:$AA$1100,7,FALSE) &lt; 0.5,0,MIN((Y62 / VLOOKUP(M62,'[1]CSBH THƯỞNG XE'!$U$3:$AA$1100,7,FALSE)) * 20%,20%))),0)</f>
        <v>0</v>
      </c>
      <c r="BI62" s="263"/>
    </row>
    <row r="63" spans="1:61" ht="20.149999999999999" customHeight="1">
      <c r="A63" s="178">
        <v>46112</v>
      </c>
      <c r="B63" s="179">
        <f t="shared" si="2"/>
        <v>31</v>
      </c>
      <c r="C63" s="179">
        <f t="shared" si="3"/>
        <v>3</v>
      </c>
      <c r="D63" s="179">
        <f t="shared" si="4"/>
        <v>2026</v>
      </c>
      <c r="E63" s="178">
        <v>46129</v>
      </c>
      <c r="F63" s="26" t="s">
        <v>1091</v>
      </c>
      <c r="G63" s="27" t="s">
        <v>254</v>
      </c>
      <c r="H63" s="28" t="s">
        <v>325</v>
      </c>
      <c r="I63" s="28" t="s">
        <v>169</v>
      </c>
      <c r="J63" s="28" t="s">
        <v>471</v>
      </c>
      <c r="K63" s="29"/>
      <c r="L63" s="29"/>
      <c r="M63" s="30" t="s">
        <v>51</v>
      </c>
      <c r="N63" s="30" t="s">
        <v>260</v>
      </c>
      <c r="O63" s="31" t="s">
        <v>473</v>
      </c>
      <c r="P63" s="32"/>
      <c r="Q63" s="180">
        <v>1</v>
      </c>
      <c r="R63" s="32" t="s">
        <v>474</v>
      </c>
      <c r="S63" s="33"/>
      <c r="T63" s="33"/>
      <c r="U63" s="33">
        <v>719281818</v>
      </c>
      <c r="V63" s="33"/>
      <c r="W63" s="34">
        <v>9234010</v>
      </c>
      <c r="X63" s="35"/>
      <c r="Y63" s="34">
        <v>1188000</v>
      </c>
      <c r="Z63" s="35"/>
      <c r="AA63" s="36">
        <v>0</v>
      </c>
      <c r="AB63" s="36">
        <f t="shared" si="17"/>
        <v>0</v>
      </c>
      <c r="AC63" s="37">
        <f t="shared" si="18"/>
        <v>0</v>
      </c>
      <c r="AD63" s="40">
        <f t="shared" si="11"/>
        <v>0</v>
      </c>
      <c r="AE63" s="37"/>
      <c r="AF63" s="37"/>
      <c r="AG63" s="37"/>
      <c r="AH63" s="33"/>
      <c r="AI63" s="38"/>
      <c r="AJ63" s="39"/>
      <c r="AK63" s="42" t="s">
        <v>271</v>
      </c>
      <c r="AL63" s="181">
        <f>IF(E63&gt;=DATE(2026,4,1),IF(OR($AK63="Khách hàng thông thường",$AK63="Khách hàng chuyển đổi xe xăng"),IFERROR(VLOOKUP($M63,'[1]CSBH THƯỞNG XE'!$U$3:$YY$800,3,0),0),IF($AK63="Khách hàng Khối Quân đội - Công An",IFERROR(VLOOKUP($M63,'[1]CSBH THƯỞNG XE'!$U$3:$X$600,4,0),0),IF($AK63="Khách hàng Giờ trái đất",IFERROR(VLOOKUP($M63,'[1]CSBH THƯỞNG XE'!$U$3:$Y$700,5,0),0),0))),0)</f>
        <v>14000000</v>
      </c>
      <c r="AM63" s="181"/>
      <c r="AN63" s="181"/>
      <c r="AO63" s="182">
        <f t="shared" si="12"/>
        <v>11200000</v>
      </c>
      <c r="AP63" s="182">
        <f t="shared" si="13"/>
        <v>11200000</v>
      </c>
      <c r="AQ63" s="183">
        <f t="shared" si="14"/>
        <v>11200000</v>
      </c>
      <c r="AR63" s="46">
        <f t="shared" si="7"/>
        <v>0</v>
      </c>
      <c r="AS63" s="46">
        <f t="shared" si="8"/>
        <v>0</v>
      </c>
      <c r="AT63" s="46">
        <v>10000000</v>
      </c>
      <c r="AU63" s="46">
        <v>9234010</v>
      </c>
      <c r="AV63" s="34">
        <v>1188000</v>
      </c>
      <c r="AW63" s="279"/>
      <c r="AX63" s="279"/>
      <c r="AZ63" s="280"/>
      <c r="BA63" s="281">
        <v>0</v>
      </c>
      <c r="BB63" s="282">
        <f>VLOOKUP(H63,[1]NVKD!$C$1:$M$3296,11,0)</f>
        <v>4</v>
      </c>
      <c r="BC63" s="281" t="s">
        <v>1982</v>
      </c>
      <c r="BD63" s="283" t="str">
        <f t="shared" si="9"/>
        <v>Showroom Sala</v>
      </c>
      <c r="BF63" s="284">
        <f t="shared" si="10"/>
        <v>0.2</v>
      </c>
      <c r="BG63" s="284">
        <f>IFERROR(IF(Y63=0,0, IF(Y63 / VLOOKUP(M63,'[1]CSBH THƯỞNG XE'!$U$3:$AA$1100,7,FALSE) &lt; 0.5,0,MIN((Y63 / VLOOKUP(M63,'[1]CSBH THƯỞNG XE'!$U$3:$AA$1100,7,FALSE)) * 20%,20%))),0)</f>
        <v>0</v>
      </c>
      <c r="BI63" s="263"/>
    </row>
    <row r="64" spans="1:61" ht="20.149999999999999" customHeight="1">
      <c r="A64" s="178">
        <v>46108</v>
      </c>
      <c r="B64" s="179">
        <f t="shared" si="2"/>
        <v>27</v>
      </c>
      <c r="C64" s="179">
        <f t="shared" si="3"/>
        <v>3</v>
      </c>
      <c r="D64" s="179">
        <f t="shared" si="4"/>
        <v>2026</v>
      </c>
      <c r="E64" s="178">
        <v>46129</v>
      </c>
      <c r="F64" s="26" t="s">
        <v>1092</v>
      </c>
      <c r="G64" s="27" t="s">
        <v>258</v>
      </c>
      <c r="H64" s="28" t="s">
        <v>190</v>
      </c>
      <c r="I64" s="28" t="s">
        <v>270</v>
      </c>
      <c r="J64" s="28" t="s">
        <v>1093</v>
      </c>
      <c r="K64" s="29"/>
      <c r="L64" s="29"/>
      <c r="M64" s="30" t="s">
        <v>1034</v>
      </c>
      <c r="N64" s="30" t="s">
        <v>268</v>
      </c>
      <c r="O64" s="31" t="s">
        <v>587</v>
      </c>
      <c r="P64" s="32"/>
      <c r="Q64" s="180">
        <v>1</v>
      </c>
      <c r="R64" s="32" t="s">
        <v>588</v>
      </c>
      <c r="S64" s="33"/>
      <c r="T64" s="33"/>
      <c r="U64" s="33">
        <v>671544909</v>
      </c>
      <c r="V64" s="33"/>
      <c r="W64" s="34">
        <v>7387000</v>
      </c>
      <c r="X64" s="35"/>
      <c r="Y64" s="34"/>
      <c r="Z64" s="35"/>
      <c r="AA64" s="36">
        <v>5000000</v>
      </c>
      <c r="AB64" s="36">
        <f t="shared" si="17"/>
        <v>5000000</v>
      </c>
      <c r="AC64" s="37">
        <f t="shared" si="18"/>
        <v>5000000</v>
      </c>
      <c r="AD64" s="40">
        <f t="shared" si="11"/>
        <v>5000000</v>
      </c>
      <c r="AE64" s="37"/>
      <c r="AF64" s="37"/>
      <c r="AG64" s="37"/>
      <c r="AH64" s="33"/>
      <c r="AI64" s="38"/>
      <c r="AJ64" s="39"/>
      <c r="AK64" s="31" t="s">
        <v>250</v>
      </c>
      <c r="AL64" s="181">
        <f>IF(E64&gt;=DATE(2026,4,1),IF(OR($AK64="Khách hàng thông thường",$AK64="Khách hàng chuyển đổi xe xăng"),IFERROR(VLOOKUP($M64,'[1]CSBH THƯỞNG XE'!$U$3:$YY$800,3,0),0),IF($AK64="Khách hàng Khối Quân đội - Công An",IFERROR(VLOOKUP($M64,'[1]CSBH THƯỞNG XE'!$U$3:$X$600,4,0),0),IF($AK64="Khách hàng Giờ trái đất",IFERROR(VLOOKUP($M64,'[1]CSBH THƯỞNG XE'!$U$3:$Y$700,5,0),0),0))),0)</f>
        <v>28000000</v>
      </c>
      <c r="AM64" s="181"/>
      <c r="AN64" s="181"/>
      <c r="AO64" s="182">
        <f t="shared" si="12"/>
        <v>18400000</v>
      </c>
      <c r="AP64" s="182">
        <f t="shared" si="13"/>
        <v>18400000</v>
      </c>
      <c r="AQ64" s="183">
        <f t="shared" si="14"/>
        <v>18400000</v>
      </c>
      <c r="AR64" s="46">
        <f t="shared" si="7"/>
        <v>0</v>
      </c>
      <c r="AS64" s="46">
        <f t="shared" si="8"/>
        <v>0</v>
      </c>
      <c r="AT64" s="46">
        <v>0</v>
      </c>
      <c r="AU64" s="46">
        <v>7387000</v>
      </c>
      <c r="AV64" s="47"/>
      <c r="AW64" s="279"/>
      <c r="AX64" s="279"/>
      <c r="AZ64" s="280"/>
      <c r="BA64" s="281" t="s">
        <v>1981</v>
      </c>
      <c r="BB64" s="282">
        <f>VLOOKUP(H64,[1]NVKD!$C$1:$M$3296,11,0)</f>
        <v>4</v>
      </c>
      <c r="BC64" s="281" t="s">
        <v>1982</v>
      </c>
      <c r="BD64" s="283" t="str">
        <f t="shared" si="9"/>
        <v>Showroom 50 Nguyễn Văn Tăng</v>
      </c>
      <c r="BF64" s="284">
        <f t="shared" si="10"/>
        <v>0.2</v>
      </c>
      <c r="BG64" s="284">
        <f>IFERROR(IF(Y64=0,0, IF(Y64 / VLOOKUP(M64,'[1]CSBH THƯỞNG XE'!$U$3:$AA$1100,7,FALSE) &lt; 0.5,0,MIN((Y64 / VLOOKUP(M64,'[1]CSBH THƯỞNG XE'!$U$3:$AA$1100,7,FALSE)) * 20%,20%))),0)</f>
        <v>0</v>
      </c>
      <c r="BI64" s="263"/>
    </row>
    <row r="65" spans="1:61" ht="20.149999999999999" customHeight="1">
      <c r="A65" s="178">
        <v>46116</v>
      </c>
      <c r="B65" s="179">
        <f t="shared" si="2"/>
        <v>4</v>
      </c>
      <c r="C65" s="179">
        <f t="shared" si="3"/>
        <v>4</v>
      </c>
      <c r="D65" s="179">
        <f t="shared" si="4"/>
        <v>2026</v>
      </c>
      <c r="E65" s="178">
        <v>46129</v>
      </c>
      <c r="F65" s="26" t="s">
        <v>1094</v>
      </c>
      <c r="G65" s="27" t="s">
        <v>246</v>
      </c>
      <c r="H65" s="28" t="s">
        <v>176</v>
      </c>
      <c r="I65" s="28" t="s">
        <v>286</v>
      </c>
      <c r="J65" s="28" t="s">
        <v>660</v>
      </c>
      <c r="K65" s="29"/>
      <c r="L65" s="29"/>
      <c r="M65" s="30" t="s">
        <v>56</v>
      </c>
      <c r="N65" s="30" t="s">
        <v>255</v>
      </c>
      <c r="O65" s="31" t="s">
        <v>105</v>
      </c>
      <c r="P65" s="32"/>
      <c r="Q65" s="180">
        <v>1</v>
      </c>
      <c r="R65" s="32" t="s">
        <v>662</v>
      </c>
      <c r="S65" s="33"/>
      <c r="T65" s="33"/>
      <c r="U65" s="33">
        <v>269181818</v>
      </c>
      <c r="V65" s="33"/>
      <c r="W65" s="34"/>
      <c r="X65" s="35"/>
      <c r="Y65" s="34"/>
      <c r="Z65" s="35"/>
      <c r="AA65" s="36">
        <v>0</v>
      </c>
      <c r="AB65" s="36">
        <f t="shared" si="17"/>
        <v>0</v>
      </c>
      <c r="AC65" s="37">
        <f t="shared" si="18"/>
        <v>0</v>
      </c>
      <c r="AD65" s="40">
        <f t="shared" si="11"/>
        <v>0</v>
      </c>
      <c r="AE65" s="37"/>
      <c r="AF65" s="37"/>
      <c r="AG65" s="37"/>
      <c r="AH65" s="33"/>
      <c r="AI65" s="38"/>
      <c r="AJ65" s="39"/>
      <c r="AK65" s="31" t="s">
        <v>250</v>
      </c>
      <c r="AL65" s="181">
        <f>IF(E65&gt;=DATE(2026,4,1),IF(OR($AK65="Khách hàng thông thường",$AK65="Khách hàng chuyển đổi xe xăng"),IFERROR(VLOOKUP($M65,'[1]CSBH THƯỞNG XE'!$U$3:$YY$800,3,0),0),IF($AK65="Khách hàng Khối Quân đội - Công An",IFERROR(VLOOKUP($M65,'[1]CSBH THƯỞNG XE'!$U$3:$X$600,4,0),0),IF($AK65="Khách hàng Giờ trái đất",IFERROR(VLOOKUP($M65,'[1]CSBH THƯỞNG XE'!$U$3:$Y$700,5,0),0),0))),0)</f>
        <v>8500000</v>
      </c>
      <c r="AM65" s="181"/>
      <c r="AN65" s="181"/>
      <c r="AO65" s="182">
        <f t="shared" si="12"/>
        <v>5100000</v>
      </c>
      <c r="AP65" s="182">
        <f t="shared" si="13"/>
        <v>5100000</v>
      </c>
      <c r="AQ65" s="183">
        <f t="shared" si="14"/>
        <v>5100000</v>
      </c>
      <c r="AR65" s="46">
        <f t="shared" si="7"/>
        <v>0</v>
      </c>
      <c r="AS65" s="46">
        <f t="shared" si="8"/>
        <v>0</v>
      </c>
      <c r="AT65" s="46">
        <v>0</v>
      </c>
      <c r="AU65" s="46">
        <v>0</v>
      </c>
      <c r="AV65" s="47"/>
      <c r="AW65" s="279"/>
      <c r="AX65" s="279"/>
      <c r="AZ65" s="280"/>
      <c r="BA65" s="281" t="s">
        <v>1981</v>
      </c>
      <c r="BB65" s="282">
        <f>VLOOKUP(H65,[1]NVKD!$C$1:$M$3296,11,0)</f>
        <v>2</v>
      </c>
      <c r="BC65" s="281" t="s">
        <v>1982</v>
      </c>
      <c r="BD65" s="283" t="str">
        <f t="shared" si="9"/>
        <v>Showroom Bến Lức</v>
      </c>
      <c r="BF65" s="284">
        <f t="shared" si="10"/>
        <v>0</v>
      </c>
      <c r="BG65" s="284">
        <f>IFERROR(IF(Y65=0,0, IF(Y65 / VLOOKUP(M65,'[1]CSBH THƯỞNG XE'!$U$3:$AA$1100,7,FALSE) &lt; 0.5,0,MIN((Y65 / VLOOKUP(M65,'[1]CSBH THƯỞNG XE'!$U$3:$AA$1100,7,FALSE)) * 20%,20%))),0)</f>
        <v>0</v>
      </c>
      <c r="BI65" s="263"/>
    </row>
    <row r="66" spans="1:61" ht="20.149999999999999" customHeight="1">
      <c r="A66" s="178">
        <v>46109</v>
      </c>
      <c r="B66" s="179">
        <f t="shared" si="2"/>
        <v>28</v>
      </c>
      <c r="C66" s="179">
        <f t="shared" si="3"/>
        <v>3</v>
      </c>
      <c r="D66" s="179">
        <f t="shared" si="4"/>
        <v>2026</v>
      </c>
      <c r="E66" s="178">
        <v>46129</v>
      </c>
      <c r="F66" s="26" t="s">
        <v>1095</v>
      </c>
      <c r="G66" s="27" t="s">
        <v>258</v>
      </c>
      <c r="H66" s="28" t="s">
        <v>204</v>
      </c>
      <c r="I66" s="28" t="s">
        <v>261</v>
      </c>
      <c r="J66" s="28" t="s">
        <v>1096</v>
      </c>
      <c r="K66" s="29"/>
      <c r="L66" s="29"/>
      <c r="M66" s="30" t="s">
        <v>114</v>
      </c>
      <c r="N66" s="30" t="s">
        <v>255</v>
      </c>
      <c r="O66" s="31" t="s">
        <v>114</v>
      </c>
      <c r="P66" s="32"/>
      <c r="Q66" s="180">
        <v>1</v>
      </c>
      <c r="R66" s="32" t="s">
        <v>582</v>
      </c>
      <c r="S66" s="33"/>
      <c r="T66" s="33"/>
      <c r="U66" s="33">
        <v>630963636</v>
      </c>
      <c r="V66" s="33"/>
      <c r="W66" s="34">
        <v>9716840</v>
      </c>
      <c r="X66" s="35"/>
      <c r="Y66" s="34"/>
      <c r="Z66" s="35"/>
      <c r="AA66" s="36">
        <v>10000000</v>
      </c>
      <c r="AB66" s="36">
        <f t="shared" si="17"/>
        <v>10000000</v>
      </c>
      <c r="AC66" s="37">
        <f t="shared" si="18"/>
        <v>10000000</v>
      </c>
      <c r="AD66" s="40">
        <f t="shared" si="11"/>
        <v>10000000</v>
      </c>
      <c r="AE66" s="37"/>
      <c r="AF66" s="37"/>
      <c r="AG66" s="37"/>
      <c r="AH66" s="33"/>
      <c r="AI66" s="38"/>
      <c r="AJ66" s="39"/>
      <c r="AK66" s="31" t="s">
        <v>250</v>
      </c>
      <c r="AL66" s="181">
        <f>IF(E66&gt;=DATE(2026,4,1),IF(OR($AK66="Khách hàng thông thường",$AK66="Khách hàng chuyển đổi xe xăng"),IFERROR(VLOOKUP($M66,'[1]CSBH THƯỞNG XE'!$U$3:$YY$800,3,0),0),IF($AK66="Khách hàng Khối Quân đội - Công An",IFERROR(VLOOKUP($M66,'[1]CSBH THƯỞNG XE'!$U$3:$X$600,4,0),0),IF($AK66="Khách hàng Giờ trái đất",IFERROR(VLOOKUP($M66,'[1]CSBH THƯỞNG XE'!$U$3:$Y$700,5,0),0),0))),0)</f>
        <v>19000000</v>
      </c>
      <c r="AM66" s="181"/>
      <c r="AN66" s="181"/>
      <c r="AO66" s="182">
        <f t="shared" si="12"/>
        <v>7200000</v>
      </c>
      <c r="AP66" s="182">
        <f t="shared" si="13"/>
        <v>7200000</v>
      </c>
      <c r="AQ66" s="183">
        <f t="shared" si="14"/>
        <v>7200000</v>
      </c>
      <c r="AR66" s="46">
        <f t="shared" si="7"/>
        <v>0</v>
      </c>
      <c r="AS66" s="46">
        <f t="shared" si="8"/>
        <v>0</v>
      </c>
      <c r="AT66" s="46">
        <v>0</v>
      </c>
      <c r="AU66" s="46">
        <v>9716840</v>
      </c>
      <c r="AV66" s="47"/>
      <c r="AW66" s="279"/>
      <c r="AX66" s="279"/>
      <c r="AZ66" s="280"/>
      <c r="BA66" s="281" t="s">
        <v>1981</v>
      </c>
      <c r="BB66" s="282">
        <f>VLOOKUP(H66,[1]NVKD!$C$1:$M$3296,11,0)</f>
        <v>1</v>
      </c>
      <c r="BC66" s="281" t="s">
        <v>1982</v>
      </c>
      <c r="BD66" s="283" t="str">
        <f t="shared" si="9"/>
        <v>Showroom 50 Nguyễn Văn Tăng</v>
      </c>
      <c r="BF66" s="284">
        <f t="shared" si="10"/>
        <v>0.2</v>
      </c>
      <c r="BG66" s="284">
        <f>IFERROR(IF(Y66=0,0, IF(Y66 / VLOOKUP(M66,'[1]CSBH THƯỞNG XE'!$U$3:$AA$1100,7,FALSE) &lt; 0.5,0,MIN((Y66 / VLOOKUP(M66,'[1]CSBH THƯỞNG XE'!$U$3:$AA$1100,7,FALSE)) * 20%,20%))),0)</f>
        <v>0</v>
      </c>
      <c r="BI66" s="263"/>
    </row>
    <row r="67" spans="1:61" ht="20.149999999999999" customHeight="1">
      <c r="A67" s="178">
        <v>46111</v>
      </c>
      <c r="B67" s="179">
        <f t="shared" si="2"/>
        <v>30</v>
      </c>
      <c r="C67" s="179">
        <f t="shared" si="3"/>
        <v>3</v>
      </c>
      <c r="D67" s="179">
        <f t="shared" si="4"/>
        <v>2026</v>
      </c>
      <c r="E67" s="178">
        <v>46129</v>
      </c>
      <c r="F67" s="26" t="s">
        <v>1097</v>
      </c>
      <c r="G67" s="27" t="s">
        <v>258</v>
      </c>
      <c r="H67" s="28" t="s">
        <v>190</v>
      </c>
      <c r="I67" s="28" t="s">
        <v>270</v>
      </c>
      <c r="J67" s="28" t="s">
        <v>1098</v>
      </c>
      <c r="K67" s="29"/>
      <c r="L67" s="29"/>
      <c r="M67" s="30" t="s">
        <v>55</v>
      </c>
      <c r="N67" s="30" t="s">
        <v>281</v>
      </c>
      <c r="O67" s="31" t="s">
        <v>202</v>
      </c>
      <c r="P67" s="32"/>
      <c r="Q67" s="180">
        <v>1</v>
      </c>
      <c r="R67" s="32" t="s">
        <v>25</v>
      </c>
      <c r="S67" s="33"/>
      <c r="T67" s="33"/>
      <c r="U67" s="33">
        <v>240090909</v>
      </c>
      <c r="V67" s="33"/>
      <c r="W67" s="34"/>
      <c r="X67" s="35"/>
      <c r="Y67" s="34"/>
      <c r="Z67" s="35"/>
      <c r="AA67" s="36"/>
      <c r="AB67" s="36">
        <f t="shared" si="17"/>
        <v>0</v>
      </c>
      <c r="AC67" s="37">
        <f t="shared" si="18"/>
        <v>0</v>
      </c>
      <c r="AD67" s="40">
        <f t="shared" si="11"/>
        <v>0</v>
      </c>
      <c r="AE67" s="37"/>
      <c r="AF67" s="37"/>
      <c r="AG67" s="37"/>
      <c r="AH67" s="33"/>
      <c r="AI67" s="38"/>
      <c r="AJ67" s="39"/>
      <c r="AK67" s="31" t="s">
        <v>250</v>
      </c>
      <c r="AL67" s="181">
        <f>IF(E67&gt;=DATE(2026,4,1),IF(OR($AK67="Khách hàng thông thường",$AK67="Khách hàng chuyển đổi xe xăng"),IFERROR(VLOOKUP($M67,'[1]CSBH THƯỞNG XE'!$U$3:$YY$800,3,0),0),IF($AK67="Khách hàng Khối Quân đội - Công An",IFERROR(VLOOKUP($M67,'[1]CSBH THƯỞNG XE'!$U$3:$X$600,4,0),0),IF($AK67="Khách hàng Giờ trái đất",IFERROR(VLOOKUP($M67,'[1]CSBH THƯỞNG XE'!$U$3:$Y$700,5,0),0),0))),0)</f>
        <v>8000000</v>
      </c>
      <c r="AM67" s="181"/>
      <c r="AN67" s="181"/>
      <c r="AO67" s="182">
        <f t="shared" si="12"/>
        <v>6400000</v>
      </c>
      <c r="AP67" s="182">
        <f t="shared" si="13"/>
        <v>6400000</v>
      </c>
      <c r="AQ67" s="183">
        <f t="shared" si="14"/>
        <v>6400000</v>
      </c>
      <c r="AR67" s="46">
        <f t="shared" si="7"/>
        <v>0</v>
      </c>
      <c r="AS67" s="46">
        <f t="shared" si="8"/>
        <v>0</v>
      </c>
      <c r="AT67" s="46">
        <v>0</v>
      </c>
      <c r="AU67" s="46">
        <v>0</v>
      </c>
      <c r="AV67" s="47"/>
      <c r="AW67" s="279"/>
      <c r="AX67" s="279"/>
      <c r="AZ67" s="280"/>
      <c r="BA67" s="281" t="s">
        <v>1981</v>
      </c>
      <c r="BB67" s="282">
        <f>VLOOKUP(H67,[1]NVKD!$C$1:$M$3296,11,0)</f>
        <v>4</v>
      </c>
      <c r="BC67" s="281" t="s">
        <v>1984</v>
      </c>
      <c r="BD67" s="283" t="str">
        <f t="shared" si="9"/>
        <v>Showroom 50 Nguyễn Văn Tăng</v>
      </c>
      <c r="BF67" s="284">
        <f t="shared" si="10"/>
        <v>0.2</v>
      </c>
      <c r="BG67" s="284">
        <f>IFERROR(IF(Y67=0,0, IF(Y67 / VLOOKUP(M67,'[1]CSBH THƯỞNG XE'!$U$3:$AA$1100,7,FALSE) &lt; 0.5,0,MIN((Y67 / VLOOKUP(M67,'[1]CSBH THƯỞNG XE'!$U$3:$AA$1100,7,FALSE)) * 20%,20%))),0)</f>
        <v>0</v>
      </c>
      <c r="BI67" s="263"/>
    </row>
    <row r="68" spans="1:61" ht="20.149999999999999" customHeight="1">
      <c r="A68" s="178">
        <v>46114</v>
      </c>
      <c r="B68" s="179">
        <f t="shared" si="2"/>
        <v>2</v>
      </c>
      <c r="C68" s="179">
        <f t="shared" si="3"/>
        <v>4</v>
      </c>
      <c r="D68" s="179">
        <f t="shared" si="4"/>
        <v>2026</v>
      </c>
      <c r="E68" s="178">
        <v>46129</v>
      </c>
      <c r="F68" s="26" t="s">
        <v>1099</v>
      </c>
      <c r="G68" s="27" t="s">
        <v>246</v>
      </c>
      <c r="H68" s="28" t="s">
        <v>176</v>
      </c>
      <c r="I68" s="28" t="s">
        <v>286</v>
      </c>
      <c r="J68" s="28" t="s">
        <v>663</v>
      </c>
      <c r="K68" s="29"/>
      <c r="L68" s="29"/>
      <c r="M68" s="30" t="s">
        <v>125</v>
      </c>
      <c r="N68" s="30" t="s">
        <v>274</v>
      </c>
      <c r="O68" s="31" t="s">
        <v>174</v>
      </c>
      <c r="P68" s="32"/>
      <c r="Q68" s="180">
        <v>1</v>
      </c>
      <c r="R68" s="32" t="s">
        <v>665</v>
      </c>
      <c r="S68" s="33"/>
      <c r="T68" s="33"/>
      <c r="U68" s="33">
        <v>260636364</v>
      </c>
      <c r="V68" s="33"/>
      <c r="W68" s="34"/>
      <c r="X68" s="35"/>
      <c r="Y68" s="34"/>
      <c r="Z68" s="35"/>
      <c r="AA68" s="36">
        <v>0</v>
      </c>
      <c r="AB68" s="36">
        <f t="shared" si="17"/>
        <v>0</v>
      </c>
      <c r="AC68" s="37">
        <f t="shared" si="18"/>
        <v>0</v>
      </c>
      <c r="AD68" s="40">
        <f t="shared" si="11"/>
        <v>0</v>
      </c>
      <c r="AE68" s="37"/>
      <c r="AF68" s="37"/>
      <c r="AG68" s="37"/>
      <c r="AH68" s="33"/>
      <c r="AI68" s="38"/>
      <c r="AJ68" s="39"/>
      <c r="AK68" s="31" t="s">
        <v>250</v>
      </c>
      <c r="AL68" s="181">
        <f>IF(E68&gt;=DATE(2026,4,1),IF(OR($AK68="Khách hàng thông thường",$AK68="Khách hàng chuyển đổi xe xăng"),IFERROR(VLOOKUP($M68,'[1]CSBH THƯỞNG XE'!$U$3:$YY$800,3,0),0),IF($AK68="Khách hàng Khối Quân đội - Công An",IFERROR(VLOOKUP($M68,'[1]CSBH THƯỞNG XE'!$U$3:$X$600,4,0),0),IF($AK68="Khách hàng Giờ trái đất",IFERROR(VLOOKUP($M68,'[1]CSBH THƯỞNG XE'!$U$3:$Y$700,5,0),0),0))),0)</f>
        <v>7500000</v>
      </c>
      <c r="AM68" s="181"/>
      <c r="AN68" s="181"/>
      <c r="AO68" s="182">
        <f t="shared" si="12"/>
        <v>4500000</v>
      </c>
      <c r="AP68" s="182">
        <f t="shared" si="13"/>
        <v>4500000</v>
      </c>
      <c r="AQ68" s="183">
        <f t="shared" si="14"/>
        <v>4500000</v>
      </c>
      <c r="AR68" s="46">
        <f t="shared" si="7"/>
        <v>0</v>
      </c>
      <c r="AS68" s="46">
        <f t="shared" si="8"/>
        <v>0</v>
      </c>
      <c r="AT68" s="46">
        <v>0</v>
      </c>
      <c r="AU68" s="46">
        <v>0</v>
      </c>
      <c r="AV68" s="47"/>
      <c r="AW68" s="279"/>
      <c r="AX68" s="279"/>
      <c r="AZ68" s="280"/>
      <c r="BA68" s="281" t="s">
        <v>1981</v>
      </c>
      <c r="BB68" s="282">
        <f>VLOOKUP(H68,[1]NVKD!$C$1:$M$3296,11,0)</f>
        <v>2</v>
      </c>
      <c r="BC68" s="281" t="s">
        <v>1982</v>
      </c>
      <c r="BD68" s="283" t="str">
        <f t="shared" si="9"/>
        <v>Showroom Bến Lức</v>
      </c>
      <c r="BF68" s="284">
        <f t="shared" si="10"/>
        <v>0</v>
      </c>
      <c r="BG68" s="284">
        <f>IFERROR(IF(Y68=0,0, IF(Y68 / VLOOKUP(M68,'[1]CSBH THƯỞNG XE'!$U$3:$AA$1100,7,FALSE) &lt; 0.5,0,MIN((Y68 / VLOOKUP(M68,'[1]CSBH THƯỞNG XE'!$U$3:$AA$1100,7,FALSE)) * 20%,20%))),0)</f>
        <v>0</v>
      </c>
      <c r="BI68" s="263"/>
    </row>
    <row r="69" spans="1:61" ht="20.149999999999999" customHeight="1">
      <c r="A69" s="178">
        <v>46114</v>
      </c>
      <c r="B69" s="179">
        <f t="shared" si="2"/>
        <v>2</v>
      </c>
      <c r="C69" s="179">
        <f t="shared" si="3"/>
        <v>4</v>
      </c>
      <c r="D69" s="179">
        <f t="shared" si="4"/>
        <v>2026</v>
      </c>
      <c r="E69" s="178">
        <v>46129</v>
      </c>
      <c r="F69" s="26" t="s">
        <v>1100</v>
      </c>
      <c r="G69" s="27" t="s">
        <v>263</v>
      </c>
      <c r="H69" s="28" t="s">
        <v>181</v>
      </c>
      <c r="I69" s="28" t="s">
        <v>264</v>
      </c>
      <c r="J69" s="28" t="s">
        <v>574</v>
      </c>
      <c r="K69" s="29"/>
      <c r="L69" s="29"/>
      <c r="M69" s="30" t="s">
        <v>55</v>
      </c>
      <c r="N69" s="30" t="s">
        <v>255</v>
      </c>
      <c r="O69" s="31" t="s">
        <v>134</v>
      </c>
      <c r="P69" s="32"/>
      <c r="Q69" s="180">
        <v>1</v>
      </c>
      <c r="R69" s="32" t="s">
        <v>576</v>
      </c>
      <c r="S69" s="33"/>
      <c r="T69" s="33"/>
      <c r="U69" s="33">
        <v>268636364</v>
      </c>
      <c r="V69" s="33"/>
      <c r="W69" s="34"/>
      <c r="X69" s="35"/>
      <c r="Y69" s="34"/>
      <c r="Z69" s="35"/>
      <c r="AA69" s="36">
        <v>4990000</v>
      </c>
      <c r="AB69" s="36">
        <f t="shared" si="17"/>
        <v>4990000</v>
      </c>
      <c r="AC69" s="37">
        <f t="shared" si="18"/>
        <v>4990000</v>
      </c>
      <c r="AD69" s="40">
        <f t="shared" si="11"/>
        <v>4990000</v>
      </c>
      <c r="AE69" s="37"/>
      <c r="AF69" s="37"/>
      <c r="AG69" s="37"/>
      <c r="AH69" s="33"/>
      <c r="AI69" s="38"/>
      <c r="AJ69" s="39"/>
      <c r="AK69" s="31" t="s">
        <v>250</v>
      </c>
      <c r="AL69" s="181">
        <f>IF(E69&gt;=DATE(2026,4,1),IF(OR($AK69="Khách hàng thông thường",$AK69="Khách hàng chuyển đổi xe xăng"),IFERROR(VLOOKUP($M69,'[1]CSBH THƯỞNG XE'!$U$3:$YY$800,3,0),0),IF($AK69="Khách hàng Khối Quân đội - Công An",IFERROR(VLOOKUP($M69,'[1]CSBH THƯỞNG XE'!$U$3:$X$600,4,0),0),IF($AK69="Khách hàng Giờ trái đất",IFERROR(VLOOKUP($M69,'[1]CSBH THƯỞNG XE'!$U$3:$Y$700,5,0),0),0))),0)</f>
        <v>8000000</v>
      </c>
      <c r="AM69" s="181"/>
      <c r="AN69" s="181"/>
      <c r="AO69" s="182">
        <f t="shared" si="12"/>
        <v>1806000</v>
      </c>
      <c r="AP69" s="182">
        <f t="shared" si="13"/>
        <v>1806000</v>
      </c>
      <c r="AQ69" s="183">
        <f t="shared" si="14"/>
        <v>1806000</v>
      </c>
      <c r="AR69" s="46">
        <f t="shared" si="7"/>
        <v>0</v>
      </c>
      <c r="AS69" s="46">
        <f t="shared" si="8"/>
        <v>0</v>
      </c>
      <c r="AT69" s="46">
        <v>0</v>
      </c>
      <c r="AU69" s="46">
        <v>0</v>
      </c>
      <c r="AV69" s="47"/>
      <c r="AW69" s="279"/>
      <c r="AX69" s="279"/>
      <c r="AZ69" s="280"/>
      <c r="BA69" s="281" t="s">
        <v>1981</v>
      </c>
      <c r="BB69" s="282">
        <f>VLOOKUP(H69,[1]NVKD!$C$1:$M$3296,11,0)</f>
        <v>2</v>
      </c>
      <c r="BC69" s="281" t="s">
        <v>1982</v>
      </c>
      <c r="BD69" s="283" t="str">
        <f t="shared" si="9"/>
        <v>Showroom Quang Trung</v>
      </c>
      <c r="BF69" s="284">
        <f t="shared" si="10"/>
        <v>0</v>
      </c>
      <c r="BG69" s="284">
        <f>IFERROR(IF(Y69=0,0, IF(Y69 / VLOOKUP(M69,'[1]CSBH THƯỞNG XE'!$U$3:$AA$1100,7,FALSE) &lt; 0.5,0,MIN((Y69 / VLOOKUP(M69,'[1]CSBH THƯỞNG XE'!$U$3:$AA$1100,7,FALSE)) * 20%,20%))),0)</f>
        <v>0</v>
      </c>
      <c r="BI69" s="263"/>
    </row>
    <row r="70" spans="1:61" ht="20.149999999999999" customHeight="1">
      <c r="A70" s="178">
        <v>46109</v>
      </c>
      <c r="B70" s="179">
        <f t="shared" si="2"/>
        <v>28</v>
      </c>
      <c r="C70" s="179">
        <f t="shared" si="3"/>
        <v>3</v>
      </c>
      <c r="D70" s="179">
        <f t="shared" si="4"/>
        <v>2026</v>
      </c>
      <c r="E70" s="178">
        <v>46129</v>
      </c>
      <c r="F70" s="26" t="s">
        <v>1101</v>
      </c>
      <c r="G70" s="27" t="s">
        <v>251</v>
      </c>
      <c r="H70" s="28" t="s">
        <v>158</v>
      </c>
      <c r="I70" s="28" t="s">
        <v>265</v>
      </c>
      <c r="J70" s="28" t="s">
        <v>547</v>
      </c>
      <c r="K70" s="29"/>
      <c r="L70" s="29"/>
      <c r="M70" s="30" t="s">
        <v>110</v>
      </c>
      <c r="N70" s="30" t="s">
        <v>255</v>
      </c>
      <c r="O70" s="31" t="s">
        <v>105</v>
      </c>
      <c r="P70" s="32"/>
      <c r="Q70" s="180">
        <v>1</v>
      </c>
      <c r="R70" s="32" t="s">
        <v>549</v>
      </c>
      <c r="S70" s="33"/>
      <c r="T70" s="33"/>
      <c r="U70" s="33">
        <v>437627273</v>
      </c>
      <c r="V70" s="33"/>
      <c r="W70" s="34"/>
      <c r="X70" s="35"/>
      <c r="Y70" s="34"/>
      <c r="Z70" s="35"/>
      <c r="AA70" s="36">
        <v>0</v>
      </c>
      <c r="AB70" s="36">
        <f t="shared" si="17"/>
        <v>0</v>
      </c>
      <c r="AC70" s="37">
        <f t="shared" si="18"/>
        <v>0</v>
      </c>
      <c r="AD70" s="40">
        <f t="shared" si="11"/>
        <v>0</v>
      </c>
      <c r="AE70" s="37"/>
      <c r="AF70" s="37"/>
      <c r="AG70" s="37"/>
      <c r="AH70" s="33"/>
      <c r="AI70" s="38"/>
      <c r="AJ70" s="39"/>
      <c r="AK70" s="31" t="s">
        <v>250</v>
      </c>
      <c r="AL70" s="181">
        <f>IF(E70&gt;=DATE(2026,4,1),IF(OR($AK70="Khách hàng thông thường",$AK70="Khách hàng chuyển đổi xe xăng"),IFERROR(VLOOKUP($M70,'[1]CSBH THƯỞNG XE'!$U$3:$YY$800,3,0),0),IF($AK70="Khách hàng Khối Quân đội - Công An",IFERROR(VLOOKUP($M70,'[1]CSBH THƯỞNG XE'!$U$3:$X$600,4,0),0),IF($AK70="Khách hàng Giờ trái đất",IFERROR(VLOOKUP($M70,'[1]CSBH THƯỞNG XE'!$U$3:$Y$700,5,0),0),0))),0)</f>
        <v>16000000</v>
      </c>
      <c r="AM70" s="181"/>
      <c r="AN70" s="181"/>
      <c r="AO70" s="182">
        <f t="shared" si="12"/>
        <v>9600000</v>
      </c>
      <c r="AP70" s="182">
        <f t="shared" si="13"/>
        <v>9600000</v>
      </c>
      <c r="AQ70" s="183">
        <f t="shared" si="14"/>
        <v>9600000</v>
      </c>
      <c r="AR70" s="46">
        <f t="shared" si="7"/>
        <v>0</v>
      </c>
      <c r="AS70" s="46">
        <f t="shared" si="8"/>
        <v>0</v>
      </c>
      <c r="AT70" s="46">
        <v>0</v>
      </c>
      <c r="AU70" s="46">
        <v>0</v>
      </c>
      <c r="AV70" s="47"/>
      <c r="AW70" s="279"/>
      <c r="AX70" s="279"/>
      <c r="AZ70" s="280"/>
      <c r="BA70" s="281" t="s">
        <v>1983</v>
      </c>
      <c r="BB70" s="282">
        <f>VLOOKUP(H70,[1]NVKD!$C$1:$M$3296,11,0)</f>
        <v>4</v>
      </c>
      <c r="BC70" s="281" t="s">
        <v>1982</v>
      </c>
      <c r="BD70" s="283" t="str">
        <f t="shared" si="9"/>
        <v>Showroom Tân An</v>
      </c>
      <c r="BF70" s="284">
        <f t="shared" si="10"/>
        <v>0</v>
      </c>
      <c r="BG70" s="284">
        <f>IFERROR(IF(Y70=0,0, IF(Y70 / VLOOKUP(M70,'[1]CSBH THƯỞNG XE'!$U$3:$AA$1100,7,FALSE) &lt; 0.5,0,MIN((Y70 / VLOOKUP(M70,'[1]CSBH THƯỞNG XE'!$U$3:$AA$1100,7,FALSE)) * 20%,20%))),0)</f>
        <v>0</v>
      </c>
      <c r="BI70" s="263"/>
    </row>
    <row r="71" spans="1:61" ht="20.149999999999999" customHeight="1">
      <c r="A71" s="178">
        <v>46103</v>
      </c>
      <c r="B71" s="179">
        <f t="shared" si="2"/>
        <v>22</v>
      </c>
      <c r="C71" s="179">
        <f t="shared" si="3"/>
        <v>3</v>
      </c>
      <c r="D71" s="179">
        <f t="shared" si="4"/>
        <v>2026</v>
      </c>
      <c r="E71" s="178">
        <v>46130</v>
      </c>
      <c r="F71" s="26" t="s">
        <v>1102</v>
      </c>
      <c r="G71" s="27" t="s">
        <v>258</v>
      </c>
      <c r="H71" s="28" t="s">
        <v>187</v>
      </c>
      <c r="I71" s="28" t="s">
        <v>261</v>
      </c>
      <c r="J71" s="28" t="s">
        <v>1103</v>
      </c>
      <c r="K71" s="29"/>
      <c r="L71" s="29"/>
      <c r="M71" s="30" t="s">
        <v>276</v>
      </c>
      <c r="N71" s="30" t="s">
        <v>260</v>
      </c>
      <c r="O71" s="31" t="s">
        <v>140</v>
      </c>
      <c r="P71" s="32"/>
      <c r="Q71" s="180">
        <v>1</v>
      </c>
      <c r="R71" s="32" t="s">
        <v>607</v>
      </c>
      <c r="S71" s="33"/>
      <c r="T71" s="33"/>
      <c r="U71" s="33">
        <v>627545455</v>
      </c>
      <c r="V71" s="33"/>
      <c r="W71" s="34"/>
      <c r="X71" s="35"/>
      <c r="Y71" s="34"/>
      <c r="Z71" s="35"/>
      <c r="AA71" s="36">
        <v>10000000</v>
      </c>
      <c r="AB71" s="36">
        <f t="shared" si="17"/>
        <v>10000000</v>
      </c>
      <c r="AC71" s="37">
        <f t="shared" si="18"/>
        <v>10000000</v>
      </c>
      <c r="AD71" s="40">
        <f t="shared" si="11"/>
        <v>10000000</v>
      </c>
      <c r="AE71" s="37"/>
      <c r="AF71" s="37"/>
      <c r="AG71" s="37"/>
      <c r="AH71" s="33"/>
      <c r="AI71" s="38"/>
      <c r="AJ71" s="39"/>
      <c r="AK71" s="31" t="s">
        <v>250</v>
      </c>
      <c r="AL71" s="181">
        <f>IF(E71&gt;=DATE(2026,4,1),IF(OR($AK71="Khách hàng thông thường",$AK71="Khách hàng chuyển đổi xe xăng"),IFERROR(VLOOKUP($M71,'[1]CSBH THƯỞNG XE'!$U$3:$YY$800,3,0),0),IF($AK71="Khách hàng Khối Quân đội - Công An",IFERROR(VLOOKUP($M71,'[1]CSBH THƯỞNG XE'!$U$3:$X$600,4,0),0),IF($AK71="Khách hàng Giờ trái đất",IFERROR(VLOOKUP($M71,'[1]CSBH THƯỞNG XE'!$U$3:$Y$700,5,0),0),0))),0)</f>
        <v>20000000</v>
      </c>
      <c r="AM71" s="181"/>
      <c r="AN71" s="181"/>
      <c r="AO71" s="182">
        <f t="shared" si="12"/>
        <v>6000000</v>
      </c>
      <c r="AP71" s="182">
        <f t="shared" si="13"/>
        <v>6000000</v>
      </c>
      <c r="AQ71" s="183">
        <f t="shared" si="14"/>
        <v>6000000</v>
      </c>
      <c r="AR71" s="46">
        <f t="shared" si="7"/>
        <v>0</v>
      </c>
      <c r="AS71" s="46">
        <f t="shared" si="8"/>
        <v>0</v>
      </c>
      <c r="AT71" s="46">
        <v>0</v>
      </c>
      <c r="AU71" s="46">
        <v>0</v>
      </c>
      <c r="AV71" s="47"/>
      <c r="AW71" s="279"/>
      <c r="AX71" s="279"/>
      <c r="AZ71" s="280"/>
      <c r="BA71" s="281" t="s">
        <v>1983</v>
      </c>
      <c r="BB71" s="282">
        <f>VLOOKUP(H71,[1]NVKD!$C$1:$M$3296,11,0)</f>
        <v>8</v>
      </c>
      <c r="BC71" s="281" t="s">
        <v>1982</v>
      </c>
      <c r="BD71" s="283" t="str">
        <f t="shared" si="9"/>
        <v>Showroom 50 Nguyễn Văn Tăng</v>
      </c>
      <c r="BF71" s="284">
        <f t="shared" si="10"/>
        <v>0</v>
      </c>
      <c r="BG71" s="284">
        <f>IFERROR(IF(Y71=0,0, IF(Y71 / VLOOKUP(M71,'[1]CSBH THƯỞNG XE'!$U$3:$AA$1100,7,FALSE) &lt; 0.5,0,MIN((Y71 / VLOOKUP(M71,'[1]CSBH THƯỞNG XE'!$U$3:$AA$1100,7,FALSE)) * 20%,20%))),0)</f>
        <v>0</v>
      </c>
      <c r="BI71" s="263"/>
    </row>
    <row r="72" spans="1:61" ht="20.149999999999999" customHeight="1">
      <c r="A72" s="178">
        <v>46109</v>
      </c>
      <c r="B72" s="179">
        <f t="shared" ref="B72:B135" si="19">DAY(A72)</f>
        <v>28</v>
      </c>
      <c r="C72" s="179">
        <f t="shared" ref="C72:C135" si="20">MONTH(A72)</f>
        <v>3</v>
      </c>
      <c r="D72" s="179">
        <f t="shared" ref="D72:D135" si="21">YEAR(A72)</f>
        <v>2026</v>
      </c>
      <c r="E72" s="178">
        <v>46132</v>
      </c>
      <c r="F72" s="26" t="s">
        <v>1104</v>
      </c>
      <c r="G72" s="27" t="s">
        <v>258</v>
      </c>
      <c r="H72" s="28" t="s">
        <v>188</v>
      </c>
      <c r="I72" s="28" t="s">
        <v>259</v>
      </c>
      <c r="J72" s="28" t="s">
        <v>1105</v>
      </c>
      <c r="K72" s="29"/>
      <c r="L72" s="29"/>
      <c r="M72" s="30" t="s">
        <v>110</v>
      </c>
      <c r="N72" s="30" t="s">
        <v>262</v>
      </c>
      <c r="O72" s="31" t="s">
        <v>140</v>
      </c>
      <c r="P72" s="32"/>
      <c r="Q72" s="180">
        <v>1</v>
      </c>
      <c r="R72" s="32" t="s">
        <v>610</v>
      </c>
      <c r="S72" s="33"/>
      <c r="T72" s="33"/>
      <c r="U72" s="33">
        <v>452054545</v>
      </c>
      <c r="V72" s="33"/>
      <c r="W72" s="34"/>
      <c r="X72" s="35"/>
      <c r="Y72" s="34"/>
      <c r="Z72" s="35"/>
      <c r="AA72" s="36">
        <v>0</v>
      </c>
      <c r="AB72" s="36">
        <f t="shared" si="17"/>
        <v>0</v>
      </c>
      <c r="AC72" s="37">
        <f t="shared" si="18"/>
        <v>0</v>
      </c>
      <c r="AD72" s="40">
        <f t="shared" si="11"/>
        <v>0</v>
      </c>
      <c r="AE72" s="37"/>
      <c r="AF72" s="37"/>
      <c r="AG72" s="37"/>
      <c r="AH72" s="33"/>
      <c r="AI72" s="38"/>
      <c r="AJ72" s="39"/>
      <c r="AK72" s="31" t="s">
        <v>250</v>
      </c>
      <c r="AL72" s="181">
        <f>IF(E72&gt;=DATE(2026,4,1),IF(OR($AK72="Khách hàng thông thường",$AK72="Khách hàng chuyển đổi xe xăng"),IFERROR(VLOOKUP($M72,'[1]CSBH THƯỞNG XE'!$U$3:$YY$800,3,0),0),IF($AK72="Khách hàng Khối Quân đội - Công An",IFERROR(VLOOKUP($M72,'[1]CSBH THƯỞNG XE'!$U$3:$X$600,4,0),0),IF($AK72="Khách hàng Giờ trái đất",IFERROR(VLOOKUP($M72,'[1]CSBH THƯỞNG XE'!$U$3:$Y$700,5,0),0),0))),0)</f>
        <v>16000000</v>
      </c>
      <c r="AM72" s="181"/>
      <c r="AN72" s="181"/>
      <c r="AO72" s="182">
        <f t="shared" ref="AO72:AO135" si="22">+(AL72+AM72+AN72-AD72)*(60%+BF72+BG72)</f>
        <v>12800000</v>
      </c>
      <c r="AP72" s="182">
        <f t="shared" si="13"/>
        <v>12800000</v>
      </c>
      <c r="AQ72" s="183">
        <f t="shared" si="14"/>
        <v>12800000</v>
      </c>
      <c r="AR72" s="46">
        <f t="shared" ref="AR72:AR135" si="23">IF(AND(LEFT(R72,3)="VF8",OR(RIGHT(R72,6)="997261", RIGHT(R72,6)="997323")),10000000,0)+IF(AND(LEFT(R72,3)="VF7",OR(RIGHT(R72,6)="879204",RIGHT(R72,6)="888618",RIGHT(R72,6)="888692",RIGHT(R72,6)="878174")),5000000,0)+IF(AND(LEFT(R72,3)="VF9",OR(RIGHT(R72,6)="703199",RIGHT(R72,6)="814035",RIGHT(R72,6)="788297",RIGHT(R72,6)="815790")),10000000,0)</f>
        <v>0</v>
      </c>
      <c r="AS72" s="46">
        <f t="shared" ref="AS72:AS135" si="24">IF(N72="TRẮNG",0,IF(AND(M72="Limo green",A72&lt;DATE(2026,4,21)),3000000,IF(AND(M72="Limo green",A72&lt;=DATE(2026,4,30)),5000000,0)))</f>
        <v>0</v>
      </c>
      <c r="AT72" s="46">
        <v>0</v>
      </c>
      <c r="AU72" s="46">
        <v>0</v>
      </c>
      <c r="AV72" s="47"/>
      <c r="AW72" s="279"/>
      <c r="AX72" s="279"/>
      <c r="AZ72" s="280"/>
      <c r="BA72" s="281" t="s">
        <v>1983</v>
      </c>
      <c r="BB72" s="282">
        <f>VLOOKUP(H72,[1]NVKD!$C$1:$M$3296,11,0)</f>
        <v>6</v>
      </c>
      <c r="BC72" s="281" t="s">
        <v>1984</v>
      </c>
      <c r="BD72" s="283" t="str">
        <f t="shared" ref="BD72:BD135" si="25">G72</f>
        <v>Showroom 50 Nguyễn Văn Tăng</v>
      </c>
      <c r="BF72" s="284">
        <f t="shared" ref="BF72:BF135" si="26">IFERROR(IF(BC72="Trả thẳng",20%,IF(W72=0,0,IF(W72/4000000&lt;0.5,0,MIN(W72/4000000*20%,20%)))),0)</f>
        <v>0.2</v>
      </c>
      <c r="BG72" s="284">
        <f>IFERROR(IF(Y72=0,0, IF(Y72 / VLOOKUP(M72,'[1]CSBH THƯỞNG XE'!$U$3:$AA$1100,7,FALSE) &lt; 0.5,0,MIN((Y72 / VLOOKUP(M72,'[1]CSBH THƯỞNG XE'!$U$3:$AA$1100,7,FALSE)) * 20%,20%))),0)</f>
        <v>0</v>
      </c>
      <c r="BI72" s="263"/>
    </row>
    <row r="73" spans="1:61" ht="20.149999999999999" customHeight="1">
      <c r="A73" s="178">
        <v>46118</v>
      </c>
      <c r="B73" s="179">
        <f t="shared" si="19"/>
        <v>6</v>
      </c>
      <c r="C73" s="179">
        <f t="shared" si="20"/>
        <v>4</v>
      </c>
      <c r="D73" s="179">
        <f t="shared" si="21"/>
        <v>2026</v>
      </c>
      <c r="E73" s="178">
        <v>46132</v>
      </c>
      <c r="F73" s="26" t="s">
        <v>1106</v>
      </c>
      <c r="G73" s="27" t="s">
        <v>254</v>
      </c>
      <c r="H73" s="28" t="s">
        <v>21</v>
      </c>
      <c r="I73" s="28">
        <v>0</v>
      </c>
      <c r="J73" s="28" t="s">
        <v>611</v>
      </c>
      <c r="K73" s="29"/>
      <c r="L73" s="29"/>
      <c r="M73" s="30" t="s">
        <v>1107</v>
      </c>
      <c r="N73" s="30" t="s">
        <v>266</v>
      </c>
      <c r="O73" s="31" t="s">
        <v>105</v>
      </c>
      <c r="P73" s="32"/>
      <c r="Q73" s="180">
        <v>1</v>
      </c>
      <c r="R73" s="32" t="s">
        <v>613</v>
      </c>
      <c r="S73" s="33"/>
      <c r="T73" s="33"/>
      <c r="U73" s="33">
        <v>1343754545</v>
      </c>
      <c r="V73" s="33"/>
      <c r="W73" s="34">
        <v>15724700</v>
      </c>
      <c r="X73" s="35"/>
      <c r="Y73" s="34">
        <v>4992111</v>
      </c>
      <c r="Z73" s="35"/>
      <c r="AA73" s="36">
        <v>0</v>
      </c>
      <c r="AB73" s="36">
        <f t="shared" si="17"/>
        <v>0</v>
      </c>
      <c r="AC73" s="37">
        <f t="shared" si="18"/>
        <v>0</v>
      </c>
      <c r="AD73" s="40">
        <f t="shared" si="11"/>
        <v>0</v>
      </c>
      <c r="AE73" s="37"/>
      <c r="AF73" s="37"/>
      <c r="AG73" s="37"/>
      <c r="AH73" s="33"/>
      <c r="AI73" s="38"/>
      <c r="AJ73" s="39"/>
      <c r="AK73" s="31" t="s">
        <v>250</v>
      </c>
      <c r="AL73" s="256">
        <f>IF(E73&gt;=DATE(2026,4,1),IF(OR($AK73="Khách hàng thông thường",$AK73="Khách hàng chuyển đổi xe xăng"),IFERROR(VLOOKUP($M73,'[1]CSBH THƯỞNG XE'!$U$3:$YY$800,3,0),0),IF($AK73="Khách hàng Khối Quân đội - Công An",IFERROR(VLOOKUP($M73,'[1]CSBH THƯỞNG XE'!$U$3:$X$600,4,0),0),IF($AK73="Khách hàng Giờ trái đất",IFERROR(VLOOKUP($M73,'[1]CSBH THƯỞNG XE'!$U$3:$Y$700,5,0),0),0))),0)*90%</f>
        <v>72000000</v>
      </c>
      <c r="AM73" s="181"/>
      <c r="AN73" s="181"/>
      <c r="AO73" s="182">
        <f t="shared" si="22"/>
        <v>72000000</v>
      </c>
      <c r="AP73" s="182">
        <f t="shared" ref="AP73:AP136" si="27">AO73*100%</f>
        <v>72000000</v>
      </c>
      <c r="AQ73" s="183">
        <f t="shared" ref="AQ73:AQ136" si="28">AP73+AR73+AS73</f>
        <v>72000000</v>
      </c>
      <c r="AR73" s="46">
        <f t="shared" si="23"/>
        <v>0</v>
      </c>
      <c r="AS73" s="46">
        <f t="shared" si="24"/>
        <v>0</v>
      </c>
      <c r="AT73" s="46">
        <v>0</v>
      </c>
      <c r="AU73" s="46">
        <v>15724700</v>
      </c>
      <c r="AV73" s="34">
        <v>4992111</v>
      </c>
      <c r="AW73" s="279"/>
      <c r="AX73" s="279"/>
      <c r="AZ73" s="280"/>
      <c r="BA73" s="281">
        <v>0</v>
      </c>
      <c r="BB73" s="282">
        <f>VLOOKUP(H73,[1]NVKD!$C$1:$M$3296,11,0)</f>
        <v>3</v>
      </c>
      <c r="BC73" s="281" t="s">
        <v>1982</v>
      </c>
      <c r="BD73" s="283" t="str">
        <f t="shared" si="25"/>
        <v>Showroom Sala</v>
      </c>
      <c r="BF73" s="284">
        <f t="shared" si="26"/>
        <v>0.2</v>
      </c>
      <c r="BG73" s="284">
        <f>IFERROR(IF(Y73=0,0, IF(Y73 / VLOOKUP(M73,'[1]CSBH THƯỞNG XE'!$U$3:$AA$1100,7,FALSE) &lt; 0.5,0,MIN((Y73 / VLOOKUP(M73,'[1]CSBH THƯỞNG XE'!$U$3:$AA$1100,7,FALSE)) * 20%,20%))),0)</f>
        <v>0.2</v>
      </c>
      <c r="BH73" s="257" t="s">
        <v>612</v>
      </c>
      <c r="BI73" s="263"/>
    </row>
    <row r="74" spans="1:61" ht="20.149999999999999" customHeight="1">
      <c r="A74" s="178">
        <v>46101</v>
      </c>
      <c r="B74" s="179">
        <f t="shared" si="19"/>
        <v>20</v>
      </c>
      <c r="C74" s="179">
        <f t="shared" si="20"/>
        <v>3</v>
      </c>
      <c r="D74" s="179">
        <f t="shared" si="21"/>
        <v>2026</v>
      </c>
      <c r="E74" s="178">
        <v>46132</v>
      </c>
      <c r="F74" s="26" t="s">
        <v>1108</v>
      </c>
      <c r="G74" s="27" t="s">
        <v>246</v>
      </c>
      <c r="H74" s="28" t="s">
        <v>671</v>
      </c>
      <c r="I74" s="28" t="s">
        <v>286</v>
      </c>
      <c r="J74" s="28" t="s">
        <v>672</v>
      </c>
      <c r="K74" s="29"/>
      <c r="L74" s="29"/>
      <c r="M74" s="30" t="s">
        <v>56</v>
      </c>
      <c r="N74" s="30" t="s">
        <v>255</v>
      </c>
      <c r="O74" s="31" t="s">
        <v>105</v>
      </c>
      <c r="P74" s="32"/>
      <c r="Q74" s="180">
        <v>1</v>
      </c>
      <c r="R74" s="32" t="s">
        <v>674</v>
      </c>
      <c r="S74" s="33"/>
      <c r="T74" s="33"/>
      <c r="U74" s="33">
        <v>269181818</v>
      </c>
      <c r="V74" s="33"/>
      <c r="W74" s="34"/>
      <c r="X74" s="35"/>
      <c r="Y74" s="34"/>
      <c r="Z74" s="35"/>
      <c r="AA74" s="36">
        <v>0</v>
      </c>
      <c r="AB74" s="36">
        <f t="shared" si="17"/>
        <v>0</v>
      </c>
      <c r="AC74" s="37">
        <f t="shared" si="18"/>
        <v>0</v>
      </c>
      <c r="AD74" s="40">
        <f t="shared" si="11"/>
        <v>0</v>
      </c>
      <c r="AE74" s="37"/>
      <c r="AF74" s="37"/>
      <c r="AG74" s="37"/>
      <c r="AH74" s="33"/>
      <c r="AI74" s="38"/>
      <c r="AJ74" s="39"/>
      <c r="AK74" s="31" t="s">
        <v>250</v>
      </c>
      <c r="AL74" s="181">
        <f>IF(E74&gt;=DATE(2026,4,1),IF(OR($AK74="Khách hàng thông thường",$AK74="Khách hàng chuyển đổi xe xăng"),IFERROR(VLOOKUP($M74,'[1]CSBH THƯỞNG XE'!$U$3:$YY$800,3,0),0),IF($AK74="Khách hàng Khối Quân đội - Công An",IFERROR(VLOOKUP($M74,'[1]CSBH THƯỞNG XE'!$U$3:$X$600,4,0),0),IF($AK74="Khách hàng Giờ trái đất",IFERROR(VLOOKUP($M74,'[1]CSBH THƯỞNG XE'!$U$3:$Y$700,5,0),0),0))),0)</f>
        <v>8500000</v>
      </c>
      <c r="AM74" s="181"/>
      <c r="AN74" s="181"/>
      <c r="AO74" s="182">
        <f t="shared" si="22"/>
        <v>6800000</v>
      </c>
      <c r="AP74" s="182">
        <f t="shared" si="27"/>
        <v>6800000</v>
      </c>
      <c r="AQ74" s="183">
        <f t="shared" si="28"/>
        <v>6800000</v>
      </c>
      <c r="AR74" s="46">
        <f t="shared" si="23"/>
        <v>0</v>
      </c>
      <c r="AS74" s="46">
        <f t="shared" si="24"/>
        <v>0</v>
      </c>
      <c r="AT74" s="46">
        <v>0</v>
      </c>
      <c r="AU74" s="46">
        <v>0</v>
      </c>
      <c r="AV74" s="47"/>
      <c r="AW74" s="279"/>
      <c r="AX74" s="279"/>
      <c r="AZ74" s="280"/>
      <c r="BA74" s="281" t="s">
        <v>1981</v>
      </c>
      <c r="BB74" s="282">
        <f>VLOOKUP(H74,[1]NVKD!$C$1:$M$3296,11,0)</f>
        <v>1</v>
      </c>
      <c r="BC74" s="281" t="s">
        <v>1984</v>
      </c>
      <c r="BD74" s="283" t="str">
        <f t="shared" si="25"/>
        <v>Showroom Bến Lức</v>
      </c>
      <c r="BF74" s="284">
        <f t="shared" si="26"/>
        <v>0.2</v>
      </c>
      <c r="BG74" s="284">
        <f>IFERROR(IF(Y74=0,0, IF(Y74 / VLOOKUP(M74,'[1]CSBH THƯỞNG XE'!$U$3:$AA$1100,7,FALSE) &lt; 0.5,0,MIN((Y74 / VLOOKUP(M74,'[1]CSBH THƯỞNG XE'!$U$3:$AA$1100,7,FALSE)) * 20%,20%))),0)</f>
        <v>0</v>
      </c>
      <c r="BI74" s="263"/>
    </row>
    <row r="75" spans="1:61" ht="20.149999999999999" customHeight="1">
      <c r="A75" s="178">
        <v>46111</v>
      </c>
      <c r="B75" s="179">
        <f t="shared" si="19"/>
        <v>30</v>
      </c>
      <c r="C75" s="179">
        <f t="shared" si="20"/>
        <v>3</v>
      </c>
      <c r="D75" s="179">
        <f t="shared" si="21"/>
        <v>2026</v>
      </c>
      <c r="E75" s="178">
        <v>46132</v>
      </c>
      <c r="F75" s="26" t="s">
        <v>1109</v>
      </c>
      <c r="G75" s="27" t="s">
        <v>263</v>
      </c>
      <c r="H75" s="28" t="s">
        <v>151</v>
      </c>
      <c r="I75" s="28" t="s">
        <v>264</v>
      </c>
      <c r="J75" s="28" t="s">
        <v>682</v>
      </c>
      <c r="K75" s="29"/>
      <c r="L75" s="29"/>
      <c r="M75" s="30" t="s">
        <v>114</v>
      </c>
      <c r="N75" s="30" t="s">
        <v>255</v>
      </c>
      <c r="O75" s="31" t="s">
        <v>148</v>
      </c>
      <c r="P75" s="32"/>
      <c r="Q75" s="180">
        <v>1</v>
      </c>
      <c r="R75" s="32" t="s">
        <v>684</v>
      </c>
      <c r="S75" s="33"/>
      <c r="T75" s="33"/>
      <c r="U75" s="33">
        <v>615081818</v>
      </c>
      <c r="V75" s="33"/>
      <c r="W75" s="34">
        <v>10223850</v>
      </c>
      <c r="X75" s="35"/>
      <c r="Y75" s="34"/>
      <c r="Z75" s="35"/>
      <c r="AA75" s="36">
        <v>0</v>
      </c>
      <c r="AB75" s="36">
        <f t="shared" si="17"/>
        <v>0</v>
      </c>
      <c r="AC75" s="37">
        <f t="shared" si="18"/>
        <v>0</v>
      </c>
      <c r="AD75" s="40">
        <f t="shared" si="11"/>
        <v>0</v>
      </c>
      <c r="AE75" s="37"/>
      <c r="AF75" s="37"/>
      <c r="AG75" s="37"/>
      <c r="AH75" s="33"/>
      <c r="AI75" s="38"/>
      <c r="AJ75" s="39"/>
      <c r="AK75" s="31" t="s">
        <v>250</v>
      </c>
      <c r="AL75" s="181">
        <f>IF(E75&gt;=DATE(2026,4,1),IF(OR($AK75="Khách hàng thông thường",$AK75="Khách hàng chuyển đổi xe xăng"),IFERROR(VLOOKUP($M75,'[1]CSBH THƯỞNG XE'!$U$3:$YY$800,3,0),0),IF($AK75="Khách hàng Khối Quân đội - Công An",IFERROR(VLOOKUP($M75,'[1]CSBH THƯỞNG XE'!$U$3:$X$600,4,0),0),IF($AK75="Khách hàng Giờ trái đất",IFERROR(VLOOKUP($M75,'[1]CSBH THƯỞNG XE'!$U$3:$Y$700,5,0),0),0))),0)</f>
        <v>19000000</v>
      </c>
      <c r="AM75" s="181"/>
      <c r="AN75" s="181"/>
      <c r="AO75" s="182">
        <f t="shared" si="22"/>
        <v>15200000</v>
      </c>
      <c r="AP75" s="182">
        <f t="shared" si="27"/>
        <v>15200000</v>
      </c>
      <c r="AQ75" s="183">
        <f t="shared" si="28"/>
        <v>15200000</v>
      </c>
      <c r="AR75" s="46">
        <f t="shared" si="23"/>
        <v>0</v>
      </c>
      <c r="AS75" s="46">
        <f t="shared" si="24"/>
        <v>0</v>
      </c>
      <c r="AT75" s="46">
        <v>12000000</v>
      </c>
      <c r="AU75" s="46"/>
      <c r="AV75" s="47"/>
      <c r="AW75" s="279"/>
      <c r="AX75" s="279"/>
      <c r="AZ75" s="280"/>
      <c r="BA75" s="281" t="s">
        <v>1983</v>
      </c>
      <c r="BB75" s="282">
        <f>VLOOKUP(H75,[1]NVKD!$C$1:$M$3296,11,0)</f>
        <v>5</v>
      </c>
      <c r="BC75" s="281" t="s">
        <v>1982</v>
      </c>
      <c r="BD75" s="283" t="str">
        <f t="shared" si="25"/>
        <v>Showroom Quang Trung</v>
      </c>
      <c r="BF75" s="284">
        <f t="shared" si="26"/>
        <v>0.2</v>
      </c>
      <c r="BG75" s="284">
        <f>IFERROR(IF(Y75=0,0, IF(Y75 / VLOOKUP(M75,'[1]CSBH THƯỞNG XE'!$U$3:$AA$1100,7,FALSE) &lt; 0.5,0,MIN((Y75 / VLOOKUP(M75,'[1]CSBH THƯỞNG XE'!$U$3:$AA$1100,7,FALSE)) * 20%,20%))),0)</f>
        <v>0</v>
      </c>
      <c r="BI75" s="263"/>
    </row>
    <row r="76" spans="1:61" ht="20.149999999999999" customHeight="1">
      <c r="A76" s="178">
        <v>46126</v>
      </c>
      <c r="B76" s="179">
        <f t="shared" si="19"/>
        <v>14</v>
      </c>
      <c r="C76" s="179">
        <f t="shared" si="20"/>
        <v>4</v>
      </c>
      <c r="D76" s="179">
        <f t="shared" si="21"/>
        <v>2026</v>
      </c>
      <c r="E76" s="178">
        <v>46133</v>
      </c>
      <c r="F76" s="26" t="s">
        <v>1110</v>
      </c>
      <c r="G76" s="44" t="s">
        <v>254</v>
      </c>
      <c r="H76" s="41" t="s">
        <v>1111</v>
      </c>
      <c r="I76" s="41" t="s">
        <v>169</v>
      </c>
      <c r="J76" s="28" t="s">
        <v>628</v>
      </c>
      <c r="K76" s="29"/>
      <c r="L76" s="29"/>
      <c r="M76" s="30" t="s">
        <v>110</v>
      </c>
      <c r="N76" s="30" t="s">
        <v>260</v>
      </c>
      <c r="O76" s="31" t="s">
        <v>140</v>
      </c>
      <c r="P76" s="32"/>
      <c r="Q76" s="180">
        <v>1</v>
      </c>
      <c r="R76" s="43" t="s">
        <v>630</v>
      </c>
      <c r="S76" s="33"/>
      <c r="T76" s="33"/>
      <c r="U76" s="33">
        <v>416416364</v>
      </c>
      <c r="V76" s="33"/>
      <c r="W76" s="34"/>
      <c r="X76" s="35"/>
      <c r="Y76" s="34"/>
      <c r="Z76" s="35"/>
      <c r="AA76" s="36">
        <v>0</v>
      </c>
      <c r="AB76" s="36">
        <f t="shared" si="17"/>
        <v>0</v>
      </c>
      <c r="AC76" s="37">
        <f t="shared" si="18"/>
        <v>0</v>
      </c>
      <c r="AD76" s="40">
        <f t="shared" si="11"/>
        <v>0</v>
      </c>
      <c r="AE76" s="37"/>
      <c r="AF76" s="37"/>
      <c r="AG76" s="37"/>
      <c r="AH76" s="33"/>
      <c r="AI76" s="38"/>
      <c r="AJ76" s="39"/>
      <c r="AK76" s="31" t="s">
        <v>250</v>
      </c>
      <c r="AL76" s="181">
        <f>IF(E76&gt;=DATE(2026,4,1),IF(OR($AK76="Khách hàng thông thường",$AK76="Khách hàng chuyển đổi xe xăng"),IFERROR(VLOOKUP($M76,'[1]CSBH THƯỞNG XE'!$U$3:$YY$800,3,0),0),IF($AK76="Khách hàng Khối Quân đội - Công An",IFERROR(VLOOKUP($M76,'[1]CSBH THƯỞNG XE'!$U$3:$X$600,4,0),0),IF($AK76="Khách hàng Giờ trái đất",IFERROR(VLOOKUP($M76,'[1]CSBH THƯỞNG XE'!$U$3:$Y$700,5,0),0),0))),0)</f>
        <v>16000000</v>
      </c>
      <c r="AM76" s="181"/>
      <c r="AN76" s="181"/>
      <c r="AO76" s="182">
        <f t="shared" si="22"/>
        <v>9600000</v>
      </c>
      <c r="AP76" s="182">
        <f t="shared" si="27"/>
        <v>9600000</v>
      </c>
      <c r="AQ76" s="183">
        <f t="shared" si="28"/>
        <v>9600000</v>
      </c>
      <c r="AR76" s="46">
        <f t="shared" si="23"/>
        <v>0</v>
      </c>
      <c r="AS76" s="46">
        <f t="shared" si="24"/>
        <v>0</v>
      </c>
      <c r="AT76" s="46">
        <v>0</v>
      </c>
      <c r="AU76" s="46">
        <v>0</v>
      </c>
      <c r="AV76" s="47"/>
      <c r="AW76" s="279"/>
      <c r="AX76" s="279"/>
      <c r="AZ76" s="280"/>
      <c r="BA76" s="281" t="s">
        <v>1981</v>
      </c>
      <c r="BB76" s="282">
        <f>VLOOKUP(H76,[1]NVKD!$C$1:$M$3296,11,0)</f>
        <v>3</v>
      </c>
      <c r="BC76" s="281" t="s">
        <v>1982</v>
      </c>
      <c r="BD76" s="283" t="str">
        <f t="shared" si="25"/>
        <v>Showroom Sala</v>
      </c>
      <c r="BF76" s="284">
        <f t="shared" si="26"/>
        <v>0</v>
      </c>
      <c r="BG76" s="284">
        <f>IFERROR(IF(Y76=0,0, IF(Y76 / VLOOKUP(M76,'[1]CSBH THƯỞNG XE'!$U$3:$AA$1100,7,FALSE) &lt; 0.5,0,MIN((Y76 / VLOOKUP(M76,'[1]CSBH THƯỞNG XE'!$U$3:$AA$1100,7,FALSE)) * 20%,20%))),0)</f>
        <v>0</v>
      </c>
      <c r="BI76" s="263"/>
    </row>
    <row r="77" spans="1:61" ht="20.149999999999999" customHeight="1">
      <c r="A77" s="178">
        <v>46107</v>
      </c>
      <c r="B77" s="179">
        <f t="shared" si="19"/>
        <v>26</v>
      </c>
      <c r="C77" s="179">
        <f t="shared" si="20"/>
        <v>3</v>
      </c>
      <c r="D77" s="179">
        <f t="shared" si="21"/>
        <v>2026</v>
      </c>
      <c r="E77" s="178">
        <v>46133</v>
      </c>
      <c r="F77" s="26" t="s">
        <v>1112</v>
      </c>
      <c r="G77" s="27" t="s">
        <v>254</v>
      </c>
      <c r="H77" s="28" t="s">
        <v>325</v>
      </c>
      <c r="I77" s="28" t="s">
        <v>169</v>
      </c>
      <c r="J77" s="28" t="s">
        <v>675</v>
      </c>
      <c r="K77" s="29"/>
      <c r="L77" s="29"/>
      <c r="M77" s="30" t="s">
        <v>1107</v>
      </c>
      <c r="N77" s="30" t="s">
        <v>266</v>
      </c>
      <c r="O77" s="31" t="s">
        <v>677</v>
      </c>
      <c r="P77" s="32"/>
      <c r="Q77" s="180">
        <v>1</v>
      </c>
      <c r="R77" s="32" t="s">
        <v>678</v>
      </c>
      <c r="S77" s="33"/>
      <c r="T77" s="33"/>
      <c r="U77" s="33">
        <v>1314399409</v>
      </c>
      <c r="V77" s="33"/>
      <c r="W77" s="34">
        <v>15401793</v>
      </c>
      <c r="X77" s="35"/>
      <c r="Y77" s="34">
        <v>4802111</v>
      </c>
      <c r="Z77" s="35"/>
      <c r="AA77" s="36">
        <v>25000000</v>
      </c>
      <c r="AB77" s="36">
        <f t="shared" si="17"/>
        <v>25000000</v>
      </c>
      <c r="AC77" s="37">
        <f t="shared" si="18"/>
        <v>25000000</v>
      </c>
      <c r="AD77" s="40">
        <f t="shared" si="11"/>
        <v>25000000</v>
      </c>
      <c r="AE77" s="37"/>
      <c r="AF77" s="37"/>
      <c r="AG77" s="37"/>
      <c r="AH77" s="33"/>
      <c r="AI77" s="38"/>
      <c r="AJ77" s="39"/>
      <c r="AK77" s="31" t="s">
        <v>250</v>
      </c>
      <c r="AL77" s="181">
        <f>IF(E77&gt;=DATE(2026,4,1),IF(OR($AK77="Khách hàng thông thường",$AK77="Khách hàng chuyển đổi xe xăng"),IFERROR(VLOOKUP($M77,'[1]CSBH THƯỞNG XE'!$U$3:$YY$800,3,0),0),IF($AK77="Khách hàng Khối Quân đội - Công An",IFERROR(VLOOKUP($M77,'[1]CSBH THƯỞNG XE'!$U$3:$X$600,4,0),0),IF($AK77="Khách hàng Giờ trái đất",IFERROR(VLOOKUP($M77,'[1]CSBH THƯỞNG XE'!$U$3:$Y$700,5,0),0),0))),0)</f>
        <v>80000000</v>
      </c>
      <c r="AM77" s="181"/>
      <c r="AN77" s="181"/>
      <c r="AO77" s="182">
        <f t="shared" si="22"/>
        <v>55000000</v>
      </c>
      <c r="AP77" s="182">
        <f t="shared" si="27"/>
        <v>55000000</v>
      </c>
      <c r="AQ77" s="183">
        <f t="shared" si="28"/>
        <v>55000000</v>
      </c>
      <c r="AR77" s="46">
        <f t="shared" si="23"/>
        <v>0</v>
      </c>
      <c r="AS77" s="46">
        <f t="shared" si="24"/>
        <v>0</v>
      </c>
      <c r="AT77" s="46">
        <v>29930000</v>
      </c>
      <c r="AU77" s="46">
        <v>15401793</v>
      </c>
      <c r="AV77" s="34">
        <v>4802111</v>
      </c>
      <c r="AW77" s="279"/>
      <c r="AX77" s="279"/>
      <c r="AZ77" s="280"/>
      <c r="BA77" s="281">
        <v>0</v>
      </c>
      <c r="BB77" s="282">
        <f>VLOOKUP(H77,[1]NVKD!$C$1:$M$3296,11,0)</f>
        <v>4</v>
      </c>
      <c r="BC77" s="281" t="s">
        <v>1982</v>
      </c>
      <c r="BD77" s="283" t="str">
        <f t="shared" si="25"/>
        <v>Showroom Sala</v>
      </c>
      <c r="BF77" s="284">
        <f t="shared" si="26"/>
        <v>0.2</v>
      </c>
      <c r="BG77" s="284">
        <f>IFERROR(IF(Y77=0,0, IF(Y77 / VLOOKUP(M77,'[1]CSBH THƯỞNG XE'!$U$3:$AA$1100,7,FALSE) &lt; 0.5,0,MIN((Y77 / VLOOKUP(M77,'[1]CSBH THƯỞNG XE'!$U$3:$AA$1100,7,FALSE)) * 20%,20%))),0)</f>
        <v>0.2</v>
      </c>
      <c r="BH77" s="257" t="s">
        <v>676</v>
      </c>
      <c r="BI77" s="263"/>
    </row>
    <row r="78" spans="1:61" ht="20.149999999999999" customHeight="1">
      <c r="A78" s="178">
        <v>46110</v>
      </c>
      <c r="B78" s="179">
        <f t="shared" si="19"/>
        <v>29</v>
      </c>
      <c r="C78" s="179">
        <f t="shared" si="20"/>
        <v>3</v>
      </c>
      <c r="D78" s="179">
        <f t="shared" si="21"/>
        <v>2026</v>
      </c>
      <c r="E78" s="178">
        <v>46133</v>
      </c>
      <c r="F78" s="26" t="s">
        <v>1113</v>
      </c>
      <c r="G78" s="27" t="s">
        <v>254</v>
      </c>
      <c r="H78" s="28" t="s">
        <v>165</v>
      </c>
      <c r="I78" s="28" t="s">
        <v>169</v>
      </c>
      <c r="J78" s="28" t="s">
        <v>616</v>
      </c>
      <c r="K78" s="29"/>
      <c r="L78" s="29"/>
      <c r="M78" s="30" t="s">
        <v>114</v>
      </c>
      <c r="N78" s="30" t="s">
        <v>255</v>
      </c>
      <c r="O78" s="31" t="s">
        <v>172</v>
      </c>
      <c r="P78" s="32"/>
      <c r="Q78" s="180">
        <v>1</v>
      </c>
      <c r="R78" s="32" t="s">
        <v>618</v>
      </c>
      <c r="S78" s="33"/>
      <c r="T78" s="33"/>
      <c r="U78" s="33">
        <v>680909091</v>
      </c>
      <c r="V78" s="33"/>
      <c r="W78" s="34">
        <v>10471020</v>
      </c>
      <c r="X78" s="35"/>
      <c r="Y78" s="34">
        <v>4203338</v>
      </c>
      <c r="Z78" s="35"/>
      <c r="AA78" s="36">
        <v>0</v>
      </c>
      <c r="AB78" s="36">
        <f t="shared" si="17"/>
        <v>0</v>
      </c>
      <c r="AC78" s="37">
        <f t="shared" si="18"/>
        <v>0</v>
      </c>
      <c r="AD78" s="40">
        <f t="shared" si="11"/>
        <v>0</v>
      </c>
      <c r="AE78" s="37"/>
      <c r="AF78" s="37"/>
      <c r="AG78" s="37"/>
      <c r="AH78" s="33"/>
      <c r="AI78" s="38"/>
      <c r="AJ78" s="39"/>
      <c r="AK78" s="31" t="s">
        <v>250</v>
      </c>
      <c r="AL78" s="181">
        <f>IF(E78&gt;=DATE(2026,4,1),IF(OR($AK78="Khách hàng thông thường",$AK78="Khách hàng chuyển đổi xe xăng"),IFERROR(VLOOKUP($M78,'[1]CSBH THƯỞNG XE'!$U$3:$YY$800,3,0),0),IF($AK78="Khách hàng Khối Quân đội - Công An",IFERROR(VLOOKUP($M78,'[1]CSBH THƯỞNG XE'!$U$3:$X$600,4,0),0),IF($AK78="Khách hàng Giờ trái đất",IFERROR(VLOOKUP($M78,'[1]CSBH THƯỞNG XE'!$U$3:$Y$700,5,0),0),0))),0)</f>
        <v>19000000</v>
      </c>
      <c r="AM78" s="181"/>
      <c r="AN78" s="181"/>
      <c r="AO78" s="182">
        <f t="shared" si="22"/>
        <v>19000000</v>
      </c>
      <c r="AP78" s="182">
        <f t="shared" si="27"/>
        <v>19000000</v>
      </c>
      <c r="AQ78" s="183">
        <f t="shared" si="28"/>
        <v>19000000</v>
      </c>
      <c r="AR78" s="46">
        <f t="shared" si="23"/>
        <v>0</v>
      </c>
      <c r="AS78" s="46">
        <f t="shared" si="24"/>
        <v>0</v>
      </c>
      <c r="AT78" s="46">
        <v>0</v>
      </c>
      <c r="AU78" s="46">
        <v>10471020</v>
      </c>
      <c r="AV78" s="34">
        <v>4203338</v>
      </c>
      <c r="AW78" s="279"/>
      <c r="AX78" s="279"/>
      <c r="AZ78" s="280"/>
      <c r="BA78" s="281">
        <v>0</v>
      </c>
      <c r="BB78" s="282">
        <f>VLOOKUP(H78,[1]NVKD!$C$1:$M$3296,11,0)</f>
        <v>1</v>
      </c>
      <c r="BC78" s="281" t="s">
        <v>1982</v>
      </c>
      <c r="BD78" s="283" t="str">
        <f t="shared" si="25"/>
        <v>Showroom Sala</v>
      </c>
      <c r="BF78" s="284">
        <f t="shared" si="26"/>
        <v>0.2</v>
      </c>
      <c r="BG78" s="284">
        <f>IFERROR(IF(Y78=0,0, IF(Y78 / VLOOKUP(M78,'[1]CSBH THƯỞNG XE'!$U$3:$AA$1100,7,FALSE) &lt; 0.5,0,MIN((Y78 / VLOOKUP(M78,'[1]CSBH THƯỞNG XE'!$U$3:$AA$1100,7,FALSE)) * 20%,20%))),0)</f>
        <v>0.2</v>
      </c>
      <c r="BI78" s="263"/>
    </row>
    <row r="79" spans="1:61" ht="20.149999999999999" customHeight="1">
      <c r="A79" s="178">
        <v>46103</v>
      </c>
      <c r="B79" s="179">
        <f t="shared" si="19"/>
        <v>22</v>
      </c>
      <c r="C79" s="179">
        <f t="shared" si="20"/>
        <v>3</v>
      </c>
      <c r="D79" s="179">
        <f t="shared" si="21"/>
        <v>2026</v>
      </c>
      <c r="E79" s="178">
        <v>46133</v>
      </c>
      <c r="F79" s="26" t="s">
        <v>1114</v>
      </c>
      <c r="G79" s="27" t="s">
        <v>263</v>
      </c>
      <c r="H79" s="28" t="s">
        <v>151</v>
      </c>
      <c r="I79" s="28" t="s">
        <v>264</v>
      </c>
      <c r="J79" s="28" t="s">
        <v>686</v>
      </c>
      <c r="K79" s="29"/>
      <c r="L79" s="29"/>
      <c r="M79" s="30" t="s">
        <v>114</v>
      </c>
      <c r="N79" s="30" t="s">
        <v>248</v>
      </c>
      <c r="O79" s="31" t="s">
        <v>148</v>
      </c>
      <c r="P79" s="32"/>
      <c r="Q79" s="180">
        <v>1</v>
      </c>
      <c r="R79" s="32" t="s">
        <v>688</v>
      </c>
      <c r="S79" s="33"/>
      <c r="T79" s="33"/>
      <c r="U79" s="33">
        <v>608718182</v>
      </c>
      <c r="V79" s="33"/>
      <c r="W79" s="34"/>
      <c r="X79" s="35"/>
      <c r="Y79" s="34"/>
      <c r="Z79" s="35"/>
      <c r="AA79" s="36">
        <v>12000000</v>
      </c>
      <c r="AB79" s="36">
        <f t="shared" si="17"/>
        <v>12000000</v>
      </c>
      <c r="AC79" s="37">
        <f t="shared" si="18"/>
        <v>12000000</v>
      </c>
      <c r="AD79" s="40">
        <f t="shared" si="11"/>
        <v>12000000</v>
      </c>
      <c r="AE79" s="37"/>
      <c r="AF79" s="37"/>
      <c r="AG79" s="37"/>
      <c r="AH79" s="33"/>
      <c r="AI79" s="38"/>
      <c r="AJ79" s="39"/>
      <c r="AK79" s="31" t="s">
        <v>250</v>
      </c>
      <c r="AL79" s="181">
        <f>IF(E79&gt;=DATE(2026,4,1),IF(OR($AK79="Khách hàng thông thường",$AK79="Khách hàng chuyển đổi xe xăng"),IFERROR(VLOOKUP($M79,'[1]CSBH THƯỞNG XE'!$U$3:$YY$800,3,0),0),IF($AK79="Khách hàng Khối Quân đội - Công An",IFERROR(VLOOKUP($M79,'[1]CSBH THƯỞNG XE'!$U$3:$X$600,4,0),0),IF($AK79="Khách hàng Giờ trái đất",IFERROR(VLOOKUP($M79,'[1]CSBH THƯỞNG XE'!$U$3:$Y$700,5,0),0),0))),0)</f>
        <v>19000000</v>
      </c>
      <c r="AM79" s="181"/>
      <c r="AN79" s="181"/>
      <c r="AO79" s="182">
        <f t="shared" si="22"/>
        <v>4200000</v>
      </c>
      <c r="AP79" s="182">
        <f t="shared" si="27"/>
        <v>4200000</v>
      </c>
      <c r="AQ79" s="183">
        <f t="shared" si="28"/>
        <v>7200000</v>
      </c>
      <c r="AR79" s="46">
        <f t="shared" si="23"/>
        <v>0</v>
      </c>
      <c r="AS79" s="46">
        <f t="shared" si="24"/>
        <v>3000000</v>
      </c>
      <c r="AT79" s="46">
        <v>0</v>
      </c>
      <c r="AU79" s="46">
        <v>0</v>
      </c>
      <c r="AV79" s="47"/>
      <c r="AW79" s="279"/>
      <c r="AX79" s="279"/>
      <c r="AZ79" s="280"/>
      <c r="BA79" s="281" t="s">
        <v>1983</v>
      </c>
      <c r="BB79" s="282">
        <f>VLOOKUP(H79,[1]NVKD!$C$1:$M$3296,11,0)</f>
        <v>5</v>
      </c>
      <c r="BC79" s="281" t="s">
        <v>1982</v>
      </c>
      <c r="BD79" s="283" t="str">
        <f t="shared" si="25"/>
        <v>Showroom Quang Trung</v>
      </c>
      <c r="BF79" s="284">
        <f t="shared" si="26"/>
        <v>0</v>
      </c>
      <c r="BG79" s="284">
        <f>IFERROR(IF(Y79=0,0, IF(Y79 / VLOOKUP(M79,'[1]CSBH THƯỞNG XE'!$U$3:$AA$1100,7,FALSE) &lt; 0.5,0,MIN((Y79 / VLOOKUP(M79,'[1]CSBH THƯỞNG XE'!$U$3:$AA$1100,7,FALSE)) * 20%,20%))),0)</f>
        <v>0</v>
      </c>
      <c r="BI79" s="263"/>
    </row>
    <row r="80" spans="1:61" ht="20.149999999999999" customHeight="1">
      <c r="A80" s="178">
        <v>46086</v>
      </c>
      <c r="B80" s="179">
        <f t="shared" si="19"/>
        <v>5</v>
      </c>
      <c r="C80" s="179">
        <f t="shared" si="20"/>
        <v>3</v>
      </c>
      <c r="D80" s="179">
        <f t="shared" si="21"/>
        <v>2026</v>
      </c>
      <c r="E80" s="178">
        <v>46133</v>
      </c>
      <c r="F80" s="26" t="s">
        <v>1115</v>
      </c>
      <c r="G80" s="27" t="s">
        <v>254</v>
      </c>
      <c r="H80" s="28" t="s">
        <v>345</v>
      </c>
      <c r="I80" s="28" t="s">
        <v>169</v>
      </c>
      <c r="J80" s="28" t="s">
        <v>625</v>
      </c>
      <c r="K80" s="29"/>
      <c r="L80" s="29"/>
      <c r="M80" s="30" t="s">
        <v>56</v>
      </c>
      <c r="N80" s="30" t="s">
        <v>267</v>
      </c>
      <c r="O80" s="31" t="s">
        <v>105</v>
      </c>
      <c r="P80" s="32"/>
      <c r="Q80" s="180">
        <v>1</v>
      </c>
      <c r="R80" s="32" t="s">
        <v>627</v>
      </c>
      <c r="S80" s="33"/>
      <c r="T80" s="33"/>
      <c r="U80" s="33">
        <v>258318182</v>
      </c>
      <c r="V80" s="33"/>
      <c r="W80" s="34"/>
      <c r="X80" s="35"/>
      <c r="Y80" s="34"/>
      <c r="Z80" s="35"/>
      <c r="AA80" s="36">
        <v>0</v>
      </c>
      <c r="AB80" s="36">
        <f t="shared" si="17"/>
        <v>0</v>
      </c>
      <c r="AC80" s="37">
        <f t="shared" si="18"/>
        <v>0</v>
      </c>
      <c r="AD80" s="40">
        <f t="shared" si="11"/>
        <v>0</v>
      </c>
      <c r="AE80" s="37"/>
      <c r="AF80" s="37"/>
      <c r="AG80" s="37"/>
      <c r="AH80" s="33"/>
      <c r="AI80" s="38"/>
      <c r="AJ80" s="39"/>
      <c r="AK80" s="31" t="s">
        <v>250</v>
      </c>
      <c r="AL80" s="181">
        <f>IF(E80&gt;=DATE(2026,4,1),IF(OR($AK80="Khách hàng thông thường",$AK80="Khách hàng chuyển đổi xe xăng"),IFERROR(VLOOKUP($M80,'[1]CSBH THƯỞNG XE'!$U$3:$YY$800,3,0),0),IF($AK80="Khách hàng Khối Quân đội - Công An",IFERROR(VLOOKUP($M80,'[1]CSBH THƯỞNG XE'!$U$3:$X$600,4,0),0),IF($AK80="Khách hàng Giờ trái đất",IFERROR(VLOOKUP($M80,'[1]CSBH THƯỞNG XE'!$U$3:$Y$700,5,0),0),0))),0)</f>
        <v>8500000</v>
      </c>
      <c r="AM80" s="181"/>
      <c r="AN80" s="181"/>
      <c r="AO80" s="182">
        <f t="shared" si="22"/>
        <v>6800000</v>
      </c>
      <c r="AP80" s="182">
        <f t="shared" si="27"/>
        <v>6800000</v>
      </c>
      <c r="AQ80" s="183">
        <f t="shared" si="28"/>
        <v>6800000</v>
      </c>
      <c r="AR80" s="46">
        <f t="shared" si="23"/>
        <v>0</v>
      </c>
      <c r="AS80" s="46">
        <f t="shared" si="24"/>
        <v>0</v>
      </c>
      <c r="AT80" s="46">
        <v>0</v>
      </c>
      <c r="AU80" s="46">
        <v>0</v>
      </c>
      <c r="AV80" s="47"/>
      <c r="AW80" s="279"/>
      <c r="AX80" s="279"/>
      <c r="AZ80" s="280"/>
      <c r="BA80" s="281">
        <v>0</v>
      </c>
      <c r="BB80" s="282">
        <f>VLOOKUP(H80,[1]NVKD!$C$1:$M$3296,11,0)</f>
        <v>3</v>
      </c>
      <c r="BC80" s="281" t="s">
        <v>1984</v>
      </c>
      <c r="BD80" s="283" t="str">
        <f t="shared" si="25"/>
        <v>Showroom Sala</v>
      </c>
      <c r="BF80" s="284">
        <f t="shared" si="26"/>
        <v>0.2</v>
      </c>
      <c r="BG80" s="284">
        <f>IFERROR(IF(Y80=0,0, IF(Y80 / VLOOKUP(M80,'[1]CSBH THƯỞNG XE'!$U$3:$AA$1100,7,FALSE) &lt; 0.5,0,MIN((Y80 / VLOOKUP(M80,'[1]CSBH THƯỞNG XE'!$U$3:$AA$1100,7,FALSE)) * 20%,20%))),0)</f>
        <v>0</v>
      </c>
      <c r="BI80" s="263"/>
    </row>
    <row r="81" spans="1:61" ht="20.149999999999999" customHeight="1">
      <c r="A81" s="178">
        <v>46099</v>
      </c>
      <c r="B81" s="179">
        <f t="shared" si="19"/>
        <v>18</v>
      </c>
      <c r="C81" s="179">
        <f t="shared" si="20"/>
        <v>3</v>
      </c>
      <c r="D81" s="179">
        <f t="shared" si="21"/>
        <v>2026</v>
      </c>
      <c r="E81" s="178">
        <v>46133</v>
      </c>
      <c r="F81" s="26" t="s">
        <v>1116</v>
      </c>
      <c r="G81" s="27" t="s">
        <v>258</v>
      </c>
      <c r="H81" s="28" t="s">
        <v>189</v>
      </c>
      <c r="I81" s="28" t="s">
        <v>259</v>
      </c>
      <c r="J81" s="28" t="s">
        <v>1117</v>
      </c>
      <c r="K81" s="29"/>
      <c r="L81" s="29"/>
      <c r="M81" s="30" t="s">
        <v>257</v>
      </c>
      <c r="N81" s="30" t="s">
        <v>260</v>
      </c>
      <c r="O81" s="31" t="s">
        <v>53</v>
      </c>
      <c r="P81" s="32"/>
      <c r="Q81" s="180">
        <v>1</v>
      </c>
      <c r="R81" s="32" t="s">
        <v>800</v>
      </c>
      <c r="S81" s="33"/>
      <c r="T81" s="33"/>
      <c r="U81" s="33">
        <v>688963636</v>
      </c>
      <c r="V81" s="33"/>
      <c r="W81" s="34"/>
      <c r="X81" s="35"/>
      <c r="Y81" s="34"/>
      <c r="Z81" s="35"/>
      <c r="AA81" s="36">
        <v>12000000</v>
      </c>
      <c r="AB81" s="36">
        <f t="shared" si="17"/>
        <v>12000000</v>
      </c>
      <c r="AC81" s="37">
        <f t="shared" si="18"/>
        <v>12000000</v>
      </c>
      <c r="AD81" s="40">
        <f t="shared" si="11"/>
        <v>12000000</v>
      </c>
      <c r="AE81" s="37"/>
      <c r="AF81" s="37"/>
      <c r="AG81" s="37"/>
      <c r="AH81" s="33"/>
      <c r="AI81" s="38"/>
      <c r="AJ81" s="39"/>
      <c r="AK81" s="31" t="s">
        <v>250</v>
      </c>
      <c r="AL81" s="181">
        <f>IF(E81&gt;=DATE(2026,4,1),IF(OR($AK81="Khách hàng thông thường",$AK81="Khách hàng chuyển đổi xe xăng"),IFERROR(VLOOKUP($M81,'[1]CSBH THƯỞNG XE'!$U$3:$YY$800,3,0),0),IF($AK81="Khách hàng Khối Quân đội - Công An",IFERROR(VLOOKUP($M81,'[1]CSBH THƯỞNG XE'!$U$3:$X$600,4,0),0),IF($AK81="Khách hàng Giờ trái đất",IFERROR(VLOOKUP($M81,'[1]CSBH THƯỞNG XE'!$U$3:$Y$700,5,0),0),0))),0)</f>
        <v>20000000</v>
      </c>
      <c r="AM81" s="181"/>
      <c r="AN81" s="181"/>
      <c r="AO81" s="182">
        <f t="shared" si="22"/>
        <v>4800000</v>
      </c>
      <c r="AP81" s="182">
        <f t="shared" si="27"/>
        <v>4800000</v>
      </c>
      <c r="AQ81" s="183">
        <f t="shared" si="28"/>
        <v>4800000</v>
      </c>
      <c r="AR81" s="46">
        <f t="shared" si="23"/>
        <v>0</v>
      </c>
      <c r="AS81" s="46">
        <f t="shared" si="24"/>
        <v>0</v>
      </c>
      <c r="AT81" s="46">
        <v>0</v>
      </c>
      <c r="AU81" s="46">
        <v>0</v>
      </c>
      <c r="AV81" s="47"/>
      <c r="AW81" s="279"/>
      <c r="AX81" s="279"/>
      <c r="AZ81" s="280"/>
      <c r="BA81" s="281" t="s">
        <v>1981</v>
      </c>
      <c r="BB81" s="282">
        <f>VLOOKUP(H81,[1]NVKD!$C$1:$M$3296,11,0)</f>
        <v>4</v>
      </c>
      <c r="BC81" s="281" t="s">
        <v>1982</v>
      </c>
      <c r="BD81" s="283" t="str">
        <f t="shared" si="25"/>
        <v>Showroom 50 Nguyễn Văn Tăng</v>
      </c>
      <c r="BF81" s="284">
        <f t="shared" si="26"/>
        <v>0</v>
      </c>
      <c r="BG81" s="284">
        <f>IFERROR(IF(Y81=0,0, IF(Y81 / VLOOKUP(M81,'[1]CSBH THƯỞNG XE'!$U$3:$AA$1100,7,FALSE) &lt; 0.5,0,MIN((Y81 / VLOOKUP(M81,'[1]CSBH THƯỞNG XE'!$U$3:$AA$1100,7,FALSE)) * 20%,20%))),0)</f>
        <v>0</v>
      </c>
      <c r="BI81" s="263"/>
    </row>
    <row r="82" spans="1:61" ht="20.149999999999999" customHeight="1">
      <c r="A82" s="178">
        <v>46099</v>
      </c>
      <c r="B82" s="179">
        <f t="shared" si="19"/>
        <v>18</v>
      </c>
      <c r="C82" s="179">
        <f t="shared" si="20"/>
        <v>3</v>
      </c>
      <c r="D82" s="179">
        <f t="shared" si="21"/>
        <v>2026</v>
      </c>
      <c r="E82" s="178">
        <v>46133</v>
      </c>
      <c r="F82" s="26" t="s">
        <v>1118</v>
      </c>
      <c r="G82" s="27" t="s">
        <v>258</v>
      </c>
      <c r="H82" s="28" t="s">
        <v>189</v>
      </c>
      <c r="I82" s="28" t="s">
        <v>259</v>
      </c>
      <c r="J82" s="28" t="s">
        <v>1119</v>
      </c>
      <c r="K82" s="29"/>
      <c r="L82" s="29"/>
      <c r="M82" s="30" t="s">
        <v>257</v>
      </c>
      <c r="N82" s="30" t="s">
        <v>260</v>
      </c>
      <c r="O82" s="31" t="s">
        <v>53</v>
      </c>
      <c r="P82" s="32"/>
      <c r="Q82" s="180">
        <v>1</v>
      </c>
      <c r="R82" s="32" t="s">
        <v>797</v>
      </c>
      <c r="S82" s="33"/>
      <c r="T82" s="33"/>
      <c r="U82" s="33">
        <v>688963636</v>
      </c>
      <c r="V82" s="33"/>
      <c r="W82" s="34"/>
      <c r="X82" s="35"/>
      <c r="Y82" s="34"/>
      <c r="Z82" s="35"/>
      <c r="AA82" s="36">
        <v>12000000</v>
      </c>
      <c r="AB82" s="36">
        <f t="shared" si="17"/>
        <v>12000000</v>
      </c>
      <c r="AC82" s="37">
        <f t="shared" si="18"/>
        <v>12000000</v>
      </c>
      <c r="AD82" s="40">
        <f t="shared" si="11"/>
        <v>12000000</v>
      </c>
      <c r="AE82" s="37"/>
      <c r="AF82" s="37"/>
      <c r="AG82" s="37"/>
      <c r="AH82" s="33"/>
      <c r="AI82" s="38"/>
      <c r="AJ82" s="39"/>
      <c r="AK82" s="31" t="s">
        <v>250</v>
      </c>
      <c r="AL82" s="181">
        <f>IF(E82&gt;=DATE(2026,4,1),IF(OR($AK82="Khách hàng thông thường",$AK82="Khách hàng chuyển đổi xe xăng"),IFERROR(VLOOKUP($M82,'[1]CSBH THƯỞNG XE'!$U$3:$YY$800,3,0),0),IF($AK82="Khách hàng Khối Quân đội - Công An",IFERROR(VLOOKUP($M82,'[1]CSBH THƯỞNG XE'!$U$3:$X$600,4,0),0),IF($AK82="Khách hàng Giờ trái đất",IFERROR(VLOOKUP($M82,'[1]CSBH THƯỞNG XE'!$U$3:$Y$700,5,0),0),0))),0)</f>
        <v>20000000</v>
      </c>
      <c r="AM82" s="181"/>
      <c r="AN82" s="181"/>
      <c r="AO82" s="182">
        <f t="shared" si="22"/>
        <v>4800000</v>
      </c>
      <c r="AP82" s="182">
        <f t="shared" si="27"/>
        <v>4800000</v>
      </c>
      <c r="AQ82" s="183">
        <f t="shared" si="28"/>
        <v>4800000</v>
      </c>
      <c r="AR82" s="46">
        <f t="shared" si="23"/>
        <v>0</v>
      </c>
      <c r="AS82" s="46">
        <f t="shared" si="24"/>
        <v>0</v>
      </c>
      <c r="AT82" s="46">
        <v>0</v>
      </c>
      <c r="AU82" s="46">
        <v>0</v>
      </c>
      <c r="AV82" s="47"/>
      <c r="AW82" s="279"/>
      <c r="AX82" s="279"/>
      <c r="AZ82" s="280"/>
      <c r="BA82" s="281" t="s">
        <v>1981</v>
      </c>
      <c r="BB82" s="282">
        <f>VLOOKUP(H82,[1]NVKD!$C$1:$M$3296,11,0)</f>
        <v>4</v>
      </c>
      <c r="BC82" s="281" t="s">
        <v>1982</v>
      </c>
      <c r="BD82" s="283" t="str">
        <f t="shared" si="25"/>
        <v>Showroom 50 Nguyễn Văn Tăng</v>
      </c>
      <c r="BF82" s="284">
        <f t="shared" si="26"/>
        <v>0</v>
      </c>
      <c r="BG82" s="284">
        <f>IFERROR(IF(Y82=0,0, IF(Y82 / VLOOKUP(M82,'[1]CSBH THƯỞNG XE'!$U$3:$AA$1100,7,FALSE) &lt; 0.5,0,MIN((Y82 / VLOOKUP(M82,'[1]CSBH THƯỞNG XE'!$U$3:$AA$1100,7,FALSE)) * 20%,20%))),0)</f>
        <v>0</v>
      </c>
      <c r="BI82" s="263"/>
    </row>
    <row r="83" spans="1:61" ht="20.149999999999999" customHeight="1">
      <c r="A83" s="178">
        <v>46117</v>
      </c>
      <c r="B83" s="179">
        <f t="shared" si="19"/>
        <v>5</v>
      </c>
      <c r="C83" s="179">
        <f t="shared" si="20"/>
        <v>4</v>
      </c>
      <c r="D83" s="179">
        <f t="shared" si="21"/>
        <v>2026</v>
      </c>
      <c r="E83" s="178">
        <v>46133</v>
      </c>
      <c r="F83" s="26" t="s">
        <v>1120</v>
      </c>
      <c r="G83" s="27" t="s">
        <v>263</v>
      </c>
      <c r="H83" s="28" t="s">
        <v>152</v>
      </c>
      <c r="I83" s="28" t="s">
        <v>273</v>
      </c>
      <c r="J83" s="28" t="s">
        <v>692</v>
      </c>
      <c r="K83" s="29"/>
      <c r="L83" s="29"/>
      <c r="M83" s="30" t="s">
        <v>56</v>
      </c>
      <c r="N83" s="30" t="s">
        <v>275</v>
      </c>
      <c r="O83" s="31" t="s">
        <v>105</v>
      </c>
      <c r="P83" s="32"/>
      <c r="Q83" s="180">
        <v>1</v>
      </c>
      <c r="R83" s="32" t="s">
        <v>694</v>
      </c>
      <c r="S83" s="33"/>
      <c r="T83" s="33"/>
      <c r="U83" s="33">
        <v>260590909</v>
      </c>
      <c r="V83" s="33"/>
      <c r="W83" s="34"/>
      <c r="X83" s="35"/>
      <c r="Y83" s="34"/>
      <c r="Z83" s="35"/>
      <c r="AA83" s="36">
        <v>0</v>
      </c>
      <c r="AB83" s="36">
        <f t="shared" si="17"/>
        <v>0</v>
      </c>
      <c r="AC83" s="37">
        <f t="shared" si="18"/>
        <v>0</v>
      </c>
      <c r="AD83" s="40">
        <f t="shared" si="11"/>
        <v>0</v>
      </c>
      <c r="AE83" s="37"/>
      <c r="AF83" s="37"/>
      <c r="AG83" s="37"/>
      <c r="AH83" s="33"/>
      <c r="AI83" s="38"/>
      <c r="AJ83" s="39"/>
      <c r="AK83" s="31" t="s">
        <v>250</v>
      </c>
      <c r="AL83" s="181">
        <f>IF(E83&gt;=DATE(2026,4,1),IF(OR($AK83="Khách hàng thông thường",$AK83="Khách hàng chuyển đổi xe xăng"),IFERROR(VLOOKUP($M83,'[1]CSBH THƯỞNG XE'!$U$3:$YY$800,3,0),0),IF($AK83="Khách hàng Khối Quân đội - Công An",IFERROR(VLOOKUP($M83,'[1]CSBH THƯỞNG XE'!$U$3:$X$600,4,0),0),IF($AK83="Khách hàng Giờ trái đất",IFERROR(VLOOKUP($M83,'[1]CSBH THƯỞNG XE'!$U$3:$Y$700,5,0),0),0))),0)</f>
        <v>8500000</v>
      </c>
      <c r="AM83" s="181"/>
      <c r="AN83" s="181"/>
      <c r="AO83" s="182">
        <f t="shared" si="22"/>
        <v>6800000</v>
      </c>
      <c r="AP83" s="182">
        <f t="shared" si="27"/>
        <v>6800000</v>
      </c>
      <c r="AQ83" s="183">
        <f t="shared" si="28"/>
        <v>6800000</v>
      </c>
      <c r="AR83" s="46">
        <f t="shared" si="23"/>
        <v>0</v>
      </c>
      <c r="AS83" s="46">
        <f t="shared" si="24"/>
        <v>0</v>
      </c>
      <c r="AT83" s="46">
        <v>5100000</v>
      </c>
      <c r="AU83" s="46">
        <v>0</v>
      </c>
      <c r="AV83" s="47"/>
      <c r="AW83" s="279"/>
      <c r="AX83" s="279"/>
      <c r="AZ83" s="280"/>
      <c r="BA83" s="281" t="s">
        <v>1981</v>
      </c>
      <c r="BB83" s="282">
        <f>VLOOKUP(H83,[1]NVKD!$C$1:$M$3296,11,0)</f>
        <v>4</v>
      </c>
      <c r="BC83" s="281" t="s">
        <v>1984</v>
      </c>
      <c r="BD83" s="283" t="str">
        <f t="shared" si="25"/>
        <v>Showroom Quang Trung</v>
      </c>
      <c r="BF83" s="284">
        <f t="shared" si="26"/>
        <v>0.2</v>
      </c>
      <c r="BG83" s="284">
        <f>IFERROR(IF(Y83=0,0, IF(Y83 / VLOOKUP(M83,'[1]CSBH THƯỞNG XE'!$U$3:$AA$1100,7,FALSE) &lt; 0.5,0,MIN((Y83 / VLOOKUP(M83,'[1]CSBH THƯỞNG XE'!$U$3:$AA$1100,7,FALSE)) * 20%,20%))),0)</f>
        <v>0</v>
      </c>
      <c r="BI83" s="263"/>
    </row>
    <row r="84" spans="1:61" ht="20.149999999999999" customHeight="1">
      <c r="A84" s="178">
        <v>46106</v>
      </c>
      <c r="B84" s="179">
        <f t="shared" si="19"/>
        <v>25</v>
      </c>
      <c r="C84" s="179">
        <f t="shared" si="20"/>
        <v>3</v>
      </c>
      <c r="D84" s="179">
        <f t="shared" si="21"/>
        <v>2026</v>
      </c>
      <c r="E84" s="178">
        <v>46134</v>
      </c>
      <c r="F84" s="26" t="s">
        <v>1121</v>
      </c>
      <c r="G84" s="27" t="s">
        <v>254</v>
      </c>
      <c r="H84" s="28" t="s">
        <v>340</v>
      </c>
      <c r="I84" s="28"/>
      <c r="J84" s="28" t="s">
        <v>1122</v>
      </c>
      <c r="K84" s="29"/>
      <c r="L84" s="29"/>
      <c r="M84" s="30" t="s">
        <v>114</v>
      </c>
      <c r="N84" s="30" t="s">
        <v>255</v>
      </c>
      <c r="O84" s="31" t="s">
        <v>172</v>
      </c>
      <c r="P84" s="32"/>
      <c r="Q84" s="180">
        <v>1</v>
      </c>
      <c r="R84" s="32" t="s">
        <v>681</v>
      </c>
      <c r="S84" s="33"/>
      <c r="T84" s="33"/>
      <c r="U84" s="33">
        <v>633690909</v>
      </c>
      <c r="V84" s="33"/>
      <c r="W84" s="34"/>
      <c r="X84" s="35"/>
      <c r="Y84" s="34"/>
      <c r="Z84" s="35"/>
      <c r="AA84" s="36">
        <v>7000000</v>
      </c>
      <c r="AB84" s="36">
        <f t="shared" si="17"/>
        <v>7000000</v>
      </c>
      <c r="AC84" s="37">
        <f t="shared" si="18"/>
        <v>7000000</v>
      </c>
      <c r="AD84" s="40">
        <f t="shared" si="11"/>
        <v>7000000</v>
      </c>
      <c r="AE84" s="37"/>
      <c r="AF84" s="37"/>
      <c r="AG84" s="37"/>
      <c r="AH84" s="33"/>
      <c r="AI84" s="38"/>
      <c r="AJ84" s="39"/>
      <c r="AK84" s="31" t="s">
        <v>250</v>
      </c>
      <c r="AL84" s="181">
        <f>IF(E84&gt;=DATE(2026,4,1),IF(OR($AK84="Khách hàng thông thường",$AK84="Khách hàng chuyển đổi xe xăng"),IFERROR(VLOOKUP($M84,'[1]CSBH THƯỞNG XE'!$U$3:$YY$800,3,0),0),IF($AK84="Khách hàng Khối Quân đội - Công An",IFERROR(VLOOKUP($M84,'[1]CSBH THƯỞNG XE'!$U$3:$X$600,4,0),0),IF($AK84="Khách hàng Giờ trái đất",IFERROR(VLOOKUP($M84,'[1]CSBH THƯỞNG XE'!$U$3:$Y$700,5,0),0),0))),0)</f>
        <v>19000000</v>
      </c>
      <c r="AM84" s="181"/>
      <c r="AN84" s="181"/>
      <c r="AO84" s="182">
        <f t="shared" si="22"/>
        <v>7200000</v>
      </c>
      <c r="AP84" s="182">
        <f t="shared" si="27"/>
        <v>7200000</v>
      </c>
      <c r="AQ84" s="183">
        <f t="shared" si="28"/>
        <v>7200000</v>
      </c>
      <c r="AR84" s="46">
        <f t="shared" si="23"/>
        <v>0</v>
      </c>
      <c r="AS84" s="46">
        <f t="shared" si="24"/>
        <v>0</v>
      </c>
      <c r="AT84" s="46">
        <v>0</v>
      </c>
      <c r="AU84" s="46">
        <v>0</v>
      </c>
      <c r="AV84" s="47"/>
      <c r="AW84" s="279"/>
      <c r="AX84" s="279"/>
      <c r="AZ84" s="280"/>
      <c r="BA84" s="281">
        <v>0</v>
      </c>
      <c r="BB84" s="282">
        <f>VLOOKUP(H84,[1]NVKD!$C$1:$M$3296,11,0)</f>
        <v>2</v>
      </c>
      <c r="BC84" s="281" t="s">
        <v>1982</v>
      </c>
      <c r="BD84" s="283" t="str">
        <f t="shared" si="25"/>
        <v>Showroom Sala</v>
      </c>
      <c r="BF84" s="284">
        <f t="shared" si="26"/>
        <v>0</v>
      </c>
      <c r="BG84" s="284">
        <f>IFERROR(IF(Y84=0,0, IF(Y84 / VLOOKUP(M84,'[1]CSBH THƯỞNG XE'!$U$3:$AA$1100,7,FALSE) &lt; 0.5,0,MIN((Y84 / VLOOKUP(M84,'[1]CSBH THƯỞNG XE'!$U$3:$AA$1100,7,FALSE)) * 20%,20%))),0)</f>
        <v>0</v>
      </c>
      <c r="BI84" s="263"/>
    </row>
    <row r="85" spans="1:61" ht="20.149999999999999" customHeight="1">
      <c r="A85" s="178">
        <v>46114</v>
      </c>
      <c r="B85" s="179">
        <f t="shared" si="19"/>
        <v>2</v>
      </c>
      <c r="C85" s="179">
        <f t="shared" si="20"/>
        <v>4</v>
      </c>
      <c r="D85" s="179">
        <f t="shared" si="21"/>
        <v>2026</v>
      </c>
      <c r="E85" s="178">
        <v>46134</v>
      </c>
      <c r="F85" s="26" t="s">
        <v>1123</v>
      </c>
      <c r="G85" s="27" t="s">
        <v>263</v>
      </c>
      <c r="H85" s="28" t="s">
        <v>181</v>
      </c>
      <c r="I85" s="28" t="s">
        <v>264</v>
      </c>
      <c r="J85" s="28" t="s">
        <v>1124</v>
      </c>
      <c r="K85" s="29"/>
      <c r="L85" s="29"/>
      <c r="M85" s="30" t="s">
        <v>56</v>
      </c>
      <c r="N85" s="30" t="s">
        <v>275</v>
      </c>
      <c r="O85" s="31" t="s">
        <v>105</v>
      </c>
      <c r="P85" s="32"/>
      <c r="Q85" s="180">
        <v>1</v>
      </c>
      <c r="R85" s="32" t="s">
        <v>697</v>
      </c>
      <c r="S85" s="33"/>
      <c r="T85" s="33"/>
      <c r="U85" s="33">
        <v>264636364</v>
      </c>
      <c r="V85" s="33"/>
      <c r="W85" s="34"/>
      <c r="X85" s="35"/>
      <c r="Y85" s="34"/>
      <c r="Z85" s="35"/>
      <c r="AA85" s="36">
        <v>5000000</v>
      </c>
      <c r="AB85" s="36">
        <f t="shared" si="17"/>
        <v>5000000</v>
      </c>
      <c r="AC85" s="37">
        <f t="shared" si="18"/>
        <v>5000000</v>
      </c>
      <c r="AD85" s="40">
        <f t="shared" si="11"/>
        <v>5000000</v>
      </c>
      <c r="AE85" s="37"/>
      <c r="AF85" s="37"/>
      <c r="AG85" s="37"/>
      <c r="AH85" s="33"/>
      <c r="AI85" s="38"/>
      <c r="AJ85" s="39"/>
      <c r="AK85" s="31" t="s">
        <v>250</v>
      </c>
      <c r="AL85" s="181">
        <f>IF(E85&gt;=DATE(2026,4,1),IF(OR($AK85="Khách hàng thông thường",$AK85="Khách hàng chuyển đổi xe xăng"),IFERROR(VLOOKUP($M85,'[1]CSBH THƯỞNG XE'!$U$3:$YY$800,3,0),0),IF($AK85="Khách hàng Khối Quân đội - Công An",IFERROR(VLOOKUP($M85,'[1]CSBH THƯỞNG XE'!$U$3:$X$600,4,0),0),IF($AK85="Khách hàng Giờ trái đất",IFERROR(VLOOKUP($M85,'[1]CSBH THƯỞNG XE'!$U$3:$Y$700,5,0),0),0))),0)</f>
        <v>8500000</v>
      </c>
      <c r="AM85" s="181"/>
      <c r="AN85" s="181"/>
      <c r="AO85" s="182">
        <f t="shared" si="22"/>
        <v>2800000</v>
      </c>
      <c r="AP85" s="182">
        <f t="shared" si="27"/>
        <v>2800000</v>
      </c>
      <c r="AQ85" s="183">
        <f t="shared" si="28"/>
        <v>2800000</v>
      </c>
      <c r="AR85" s="46">
        <f t="shared" si="23"/>
        <v>0</v>
      </c>
      <c r="AS85" s="46">
        <f t="shared" si="24"/>
        <v>0</v>
      </c>
      <c r="AT85" s="46">
        <v>0</v>
      </c>
      <c r="AU85" s="46">
        <v>0</v>
      </c>
      <c r="AV85" s="47"/>
      <c r="AW85" s="279"/>
      <c r="AX85" s="279"/>
      <c r="AZ85" s="280"/>
      <c r="BA85" s="281" t="s">
        <v>1981</v>
      </c>
      <c r="BB85" s="282">
        <f>VLOOKUP(H85,[1]NVKD!$C$1:$M$3296,11,0)</f>
        <v>2</v>
      </c>
      <c r="BC85" s="281" t="s">
        <v>1984</v>
      </c>
      <c r="BD85" s="283" t="str">
        <f t="shared" si="25"/>
        <v>Showroom Quang Trung</v>
      </c>
      <c r="BF85" s="284">
        <f t="shared" si="26"/>
        <v>0.2</v>
      </c>
      <c r="BG85" s="284">
        <f>IFERROR(IF(Y85=0,0, IF(Y85 / VLOOKUP(M85,'[1]CSBH THƯỞNG XE'!$U$3:$AA$1100,7,FALSE) &lt; 0.5,0,MIN((Y85 / VLOOKUP(M85,'[1]CSBH THƯỞNG XE'!$U$3:$AA$1100,7,FALSE)) * 20%,20%))),0)</f>
        <v>0</v>
      </c>
      <c r="BI85" s="263"/>
    </row>
    <row r="86" spans="1:61" ht="20.149999999999999" customHeight="1">
      <c r="A86" s="178">
        <v>46103</v>
      </c>
      <c r="B86" s="179">
        <f t="shared" si="19"/>
        <v>22</v>
      </c>
      <c r="C86" s="179">
        <f t="shared" si="20"/>
        <v>3</v>
      </c>
      <c r="D86" s="179">
        <f t="shared" si="21"/>
        <v>2026</v>
      </c>
      <c r="E86" s="178">
        <v>46134</v>
      </c>
      <c r="F86" s="26" t="s">
        <v>1125</v>
      </c>
      <c r="G86" s="27" t="s">
        <v>246</v>
      </c>
      <c r="H86" s="28" t="s">
        <v>113</v>
      </c>
      <c r="I86" s="28" t="s">
        <v>247</v>
      </c>
      <c r="J86" s="28" t="s">
        <v>864</v>
      </c>
      <c r="K86" s="29"/>
      <c r="L86" s="29"/>
      <c r="M86" s="30" t="s">
        <v>114</v>
      </c>
      <c r="N86" s="30" t="s">
        <v>255</v>
      </c>
      <c r="O86" s="31" t="s">
        <v>52</v>
      </c>
      <c r="P86" s="32"/>
      <c r="Q86" s="180">
        <v>1</v>
      </c>
      <c r="R86" s="32" t="s">
        <v>866</v>
      </c>
      <c r="S86" s="33"/>
      <c r="T86" s="33"/>
      <c r="U86" s="33">
        <v>608718182</v>
      </c>
      <c r="V86" s="33"/>
      <c r="W86" s="34"/>
      <c r="X86" s="35"/>
      <c r="Y86" s="34"/>
      <c r="Z86" s="35"/>
      <c r="AA86" s="36">
        <v>12000000</v>
      </c>
      <c r="AB86" s="36">
        <f t="shared" si="17"/>
        <v>12000000</v>
      </c>
      <c r="AC86" s="37">
        <f t="shared" si="18"/>
        <v>12000000</v>
      </c>
      <c r="AD86" s="40">
        <f t="shared" si="11"/>
        <v>12000000</v>
      </c>
      <c r="AE86" s="37"/>
      <c r="AF86" s="37"/>
      <c r="AG86" s="37"/>
      <c r="AH86" s="33"/>
      <c r="AI86" s="38"/>
      <c r="AJ86" s="39"/>
      <c r="AK86" s="31" t="s">
        <v>250</v>
      </c>
      <c r="AL86" s="181">
        <f>IF(E86&gt;=DATE(2026,4,1),IF(OR($AK86="Khách hàng thông thường",$AK86="Khách hàng chuyển đổi xe xăng"),IFERROR(VLOOKUP($M86,'[1]CSBH THƯỞNG XE'!$U$3:$YY$800,3,0),0),IF($AK86="Khách hàng Khối Quân đội - Công An",IFERROR(VLOOKUP($M86,'[1]CSBH THƯỞNG XE'!$U$3:$X$600,4,0),0),IF($AK86="Khách hàng Giờ trái đất",IFERROR(VLOOKUP($M86,'[1]CSBH THƯỞNG XE'!$U$3:$Y$700,5,0),0),0))),0)</f>
        <v>19000000</v>
      </c>
      <c r="AM86" s="181"/>
      <c r="AN86" s="181"/>
      <c r="AO86" s="182">
        <f t="shared" si="22"/>
        <v>5600000</v>
      </c>
      <c r="AP86" s="182">
        <f t="shared" si="27"/>
        <v>5600000</v>
      </c>
      <c r="AQ86" s="183">
        <f t="shared" si="28"/>
        <v>5600000</v>
      </c>
      <c r="AR86" s="46">
        <f t="shared" si="23"/>
        <v>0</v>
      </c>
      <c r="AS86" s="46">
        <f t="shared" si="24"/>
        <v>0</v>
      </c>
      <c r="AT86" s="46">
        <v>0</v>
      </c>
      <c r="AU86" s="46">
        <v>0</v>
      </c>
      <c r="AV86" s="47"/>
      <c r="AW86" s="279"/>
      <c r="AX86" s="279"/>
      <c r="AZ86" s="280"/>
      <c r="BA86" s="281" t="s">
        <v>1983</v>
      </c>
      <c r="BB86" s="282">
        <f>VLOOKUP(H86,[1]NVKD!$C$1:$M$3296,11,0)</f>
        <v>5</v>
      </c>
      <c r="BC86" s="281" t="s">
        <v>1984</v>
      </c>
      <c r="BD86" s="283" t="str">
        <f t="shared" si="25"/>
        <v>Showroom Bến Lức</v>
      </c>
      <c r="BF86" s="284">
        <f t="shared" si="26"/>
        <v>0.2</v>
      </c>
      <c r="BG86" s="284">
        <f>IFERROR(IF(Y86=0,0, IF(Y86 / VLOOKUP(M86,'[1]CSBH THƯỞNG XE'!$U$3:$AA$1100,7,FALSE) &lt; 0.5,0,MIN((Y86 / VLOOKUP(M86,'[1]CSBH THƯỞNG XE'!$U$3:$AA$1100,7,FALSE)) * 20%,20%))),0)</f>
        <v>0</v>
      </c>
      <c r="BI86" s="263"/>
    </row>
    <row r="87" spans="1:61" ht="20.149999999999999" customHeight="1">
      <c r="A87" s="178">
        <v>46111</v>
      </c>
      <c r="B87" s="179">
        <f t="shared" si="19"/>
        <v>30</v>
      </c>
      <c r="C87" s="179">
        <f t="shared" si="20"/>
        <v>3</v>
      </c>
      <c r="D87" s="179">
        <f t="shared" si="21"/>
        <v>2026</v>
      </c>
      <c r="E87" s="178">
        <v>46134</v>
      </c>
      <c r="F87" s="26" t="s">
        <v>1126</v>
      </c>
      <c r="G87" s="27" t="s">
        <v>246</v>
      </c>
      <c r="H87" s="28" t="s">
        <v>113</v>
      </c>
      <c r="I87" s="28" t="s">
        <v>247</v>
      </c>
      <c r="J87" s="28" t="s">
        <v>861</v>
      </c>
      <c r="K87" s="29"/>
      <c r="L87" s="29"/>
      <c r="M87" s="30" t="s">
        <v>56</v>
      </c>
      <c r="N87" s="30" t="s">
        <v>274</v>
      </c>
      <c r="O87" s="31" t="s">
        <v>105</v>
      </c>
      <c r="P87" s="32"/>
      <c r="Q87" s="180">
        <v>1</v>
      </c>
      <c r="R87" s="32" t="s">
        <v>863</v>
      </c>
      <c r="S87" s="33"/>
      <c r="T87" s="33"/>
      <c r="U87" s="33">
        <v>255136364</v>
      </c>
      <c r="V87" s="33"/>
      <c r="W87" s="34"/>
      <c r="X87" s="35"/>
      <c r="Y87" s="34"/>
      <c r="Z87" s="35"/>
      <c r="AA87" s="36">
        <v>6000000</v>
      </c>
      <c r="AB87" s="36">
        <f t="shared" si="17"/>
        <v>6000000</v>
      </c>
      <c r="AC87" s="37">
        <f t="shared" si="18"/>
        <v>6000000</v>
      </c>
      <c r="AD87" s="40">
        <f t="shared" si="11"/>
        <v>6000000</v>
      </c>
      <c r="AE87" s="37"/>
      <c r="AF87" s="37"/>
      <c r="AG87" s="37"/>
      <c r="AH87" s="33"/>
      <c r="AI87" s="38"/>
      <c r="AJ87" s="39"/>
      <c r="AK87" s="31" t="s">
        <v>250</v>
      </c>
      <c r="AL87" s="181">
        <f>IF(E87&gt;=DATE(2026,4,1),IF(OR($AK87="Khách hàng thông thường",$AK87="Khách hàng chuyển đổi xe xăng"),IFERROR(VLOOKUP($M87,'[1]CSBH THƯỞNG XE'!$U$3:$YY$800,3,0),0),IF($AK87="Khách hàng Khối Quân đội - Công An",IFERROR(VLOOKUP($M87,'[1]CSBH THƯỞNG XE'!$U$3:$X$600,4,0),0),IF($AK87="Khách hàng Giờ trái đất",IFERROR(VLOOKUP($M87,'[1]CSBH THƯỞNG XE'!$U$3:$Y$700,5,0),0),0))),0)</f>
        <v>8500000</v>
      </c>
      <c r="AM87" s="181"/>
      <c r="AN87" s="181"/>
      <c r="AO87" s="182">
        <f t="shared" si="22"/>
        <v>1500000</v>
      </c>
      <c r="AP87" s="182">
        <f t="shared" si="27"/>
        <v>1500000</v>
      </c>
      <c r="AQ87" s="183">
        <f t="shared" si="28"/>
        <v>1500000</v>
      </c>
      <c r="AR87" s="46">
        <f t="shared" si="23"/>
        <v>0</v>
      </c>
      <c r="AS87" s="46">
        <f t="shared" si="24"/>
        <v>0</v>
      </c>
      <c r="AT87" s="46">
        <v>0</v>
      </c>
      <c r="AU87" s="46">
        <v>0</v>
      </c>
      <c r="AV87" s="47"/>
      <c r="AW87" s="279"/>
      <c r="AX87" s="279"/>
      <c r="AZ87" s="280"/>
      <c r="BA87" s="281" t="s">
        <v>1981</v>
      </c>
      <c r="BB87" s="282">
        <f>VLOOKUP(H87,[1]NVKD!$C$1:$M$3296,11,0)</f>
        <v>5</v>
      </c>
      <c r="BC87" s="281" t="s">
        <v>1982</v>
      </c>
      <c r="BD87" s="283" t="str">
        <f t="shared" si="25"/>
        <v>Showroom Bến Lức</v>
      </c>
      <c r="BF87" s="284">
        <f t="shared" si="26"/>
        <v>0</v>
      </c>
      <c r="BG87" s="284">
        <f>IFERROR(IF(Y87=0,0, IF(Y87 / VLOOKUP(M87,'[1]CSBH THƯỞNG XE'!$U$3:$AA$1100,7,FALSE) &lt; 0.5,0,MIN((Y87 / VLOOKUP(M87,'[1]CSBH THƯỞNG XE'!$U$3:$AA$1100,7,FALSE)) * 20%,20%))),0)</f>
        <v>0</v>
      </c>
      <c r="BI87" s="263"/>
    </row>
    <row r="88" spans="1:61" ht="20.149999999999999" customHeight="1">
      <c r="A88" s="178">
        <v>46100</v>
      </c>
      <c r="B88" s="179">
        <f t="shared" si="19"/>
        <v>19</v>
      </c>
      <c r="C88" s="179">
        <f t="shared" si="20"/>
        <v>3</v>
      </c>
      <c r="D88" s="179">
        <f t="shared" si="21"/>
        <v>2026</v>
      </c>
      <c r="E88" s="178">
        <v>46135</v>
      </c>
      <c r="F88" s="26" t="s">
        <v>1127</v>
      </c>
      <c r="G88" s="27" t="s">
        <v>251</v>
      </c>
      <c r="H88" s="28" t="s">
        <v>156</v>
      </c>
      <c r="I88" s="28" t="s">
        <v>252</v>
      </c>
      <c r="J88" s="28" t="s">
        <v>704</v>
      </c>
      <c r="K88" s="29"/>
      <c r="L88" s="29"/>
      <c r="M88" s="30" t="s">
        <v>110</v>
      </c>
      <c r="N88" s="30" t="s">
        <v>255</v>
      </c>
      <c r="O88" s="31" t="s">
        <v>105</v>
      </c>
      <c r="P88" s="32"/>
      <c r="Q88" s="180">
        <v>1</v>
      </c>
      <c r="R88" s="32" t="s">
        <v>706</v>
      </c>
      <c r="S88" s="33"/>
      <c r="T88" s="33"/>
      <c r="U88" s="33">
        <v>452054545</v>
      </c>
      <c r="V88" s="33"/>
      <c r="W88" s="34"/>
      <c r="X88" s="35"/>
      <c r="Y88" s="34">
        <v>2848000</v>
      </c>
      <c r="Z88" s="35"/>
      <c r="AA88" s="36">
        <v>0</v>
      </c>
      <c r="AB88" s="36">
        <f t="shared" si="17"/>
        <v>0</v>
      </c>
      <c r="AC88" s="37">
        <f t="shared" si="18"/>
        <v>0</v>
      </c>
      <c r="AD88" s="40">
        <f t="shared" si="11"/>
        <v>0</v>
      </c>
      <c r="AE88" s="37"/>
      <c r="AF88" s="37"/>
      <c r="AG88" s="37"/>
      <c r="AH88" s="33"/>
      <c r="AI88" s="38"/>
      <c r="AJ88" s="39"/>
      <c r="AK88" s="31" t="s">
        <v>250</v>
      </c>
      <c r="AL88" s="181">
        <f>IF(E88&gt;=DATE(2026,4,1),IF(OR($AK88="Khách hàng thông thường",$AK88="Khách hàng chuyển đổi xe xăng"),IFERROR(VLOOKUP($M88,'[1]CSBH THƯỞNG XE'!$U$3:$YY$800,3,0),0),IF($AK88="Khách hàng Khối Quân đội - Công An",IFERROR(VLOOKUP($M88,'[1]CSBH THƯỞNG XE'!$U$3:$X$600,4,0),0),IF($AK88="Khách hàng Giờ trái đất",IFERROR(VLOOKUP($M88,'[1]CSBH THƯỞNG XE'!$U$3:$Y$700,5,0),0),0))),0)</f>
        <v>16000000</v>
      </c>
      <c r="AM88" s="181"/>
      <c r="AN88" s="181"/>
      <c r="AO88" s="182">
        <f t="shared" si="22"/>
        <v>11979598.990989035</v>
      </c>
      <c r="AP88" s="182">
        <f t="shared" si="27"/>
        <v>11979598.990989035</v>
      </c>
      <c r="AQ88" s="183">
        <f t="shared" si="28"/>
        <v>11979598.990989035</v>
      </c>
      <c r="AR88" s="46">
        <f t="shared" si="23"/>
        <v>0</v>
      </c>
      <c r="AS88" s="46">
        <f t="shared" si="24"/>
        <v>0</v>
      </c>
      <c r="AT88" s="46">
        <v>0</v>
      </c>
      <c r="AU88" s="46">
        <v>0</v>
      </c>
      <c r="AV88" s="34">
        <v>2848000</v>
      </c>
      <c r="AW88" s="279"/>
      <c r="AX88" s="279"/>
      <c r="AZ88" s="280"/>
      <c r="BA88" s="281" t="s">
        <v>1983</v>
      </c>
      <c r="BB88" s="282">
        <f>VLOOKUP(H88,[1]NVKD!$C$1:$M$3296,11,0)</f>
        <v>3</v>
      </c>
      <c r="BC88" s="281" t="s">
        <v>1982</v>
      </c>
      <c r="BD88" s="283" t="str">
        <f t="shared" si="25"/>
        <v>Showroom Tân An</v>
      </c>
      <c r="BF88" s="284">
        <f t="shared" si="26"/>
        <v>0</v>
      </c>
      <c r="BG88" s="284">
        <f>IFERROR(IF(Y88=0,0, IF(Y88 / VLOOKUP(M88,'[1]CSBH THƯỞNG XE'!$U$3:$AA$1100,7,FALSE) &lt; 0.5,0,MIN((Y88 / VLOOKUP(M88,'[1]CSBH THƯỞNG XE'!$U$3:$AA$1100,7,FALSE)) * 20%,20%))),0)</f>
        <v>0.14872493693681463</v>
      </c>
      <c r="BI88" s="263"/>
    </row>
    <row r="89" spans="1:61" ht="20.149999999999999" customHeight="1">
      <c r="A89" s="178">
        <v>46109</v>
      </c>
      <c r="B89" s="179">
        <f t="shared" si="19"/>
        <v>28</v>
      </c>
      <c r="C89" s="179">
        <f t="shared" si="20"/>
        <v>3</v>
      </c>
      <c r="D89" s="179">
        <f t="shared" si="21"/>
        <v>2026</v>
      </c>
      <c r="E89" s="178">
        <v>46135</v>
      </c>
      <c r="F89" s="26" t="s">
        <v>1128</v>
      </c>
      <c r="G89" s="27" t="s">
        <v>251</v>
      </c>
      <c r="H89" s="28" t="s">
        <v>180</v>
      </c>
      <c r="I89" s="28" t="s">
        <v>252</v>
      </c>
      <c r="J89" s="28" t="s">
        <v>18</v>
      </c>
      <c r="K89" s="29"/>
      <c r="L89" s="29"/>
      <c r="M89" s="30" t="s">
        <v>114</v>
      </c>
      <c r="N89" s="30" t="s">
        <v>274</v>
      </c>
      <c r="O89" s="31" t="s">
        <v>52</v>
      </c>
      <c r="P89" s="32"/>
      <c r="Q89" s="180">
        <v>1</v>
      </c>
      <c r="R89" s="32" t="s">
        <v>708</v>
      </c>
      <c r="S89" s="33"/>
      <c r="T89" s="33"/>
      <c r="U89" s="33">
        <v>616574591</v>
      </c>
      <c r="V89" s="33"/>
      <c r="W89" s="34"/>
      <c r="X89" s="35"/>
      <c r="Y89" s="34"/>
      <c r="Z89" s="35"/>
      <c r="AA89" s="36">
        <v>0</v>
      </c>
      <c r="AB89" s="36">
        <f t="shared" si="17"/>
        <v>0</v>
      </c>
      <c r="AC89" s="37">
        <f t="shared" si="18"/>
        <v>0</v>
      </c>
      <c r="AD89" s="40">
        <f t="shared" si="11"/>
        <v>0</v>
      </c>
      <c r="AE89" s="37"/>
      <c r="AF89" s="37"/>
      <c r="AG89" s="37"/>
      <c r="AH89" s="33"/>
      <c r="AI89" s="38"/>
      <c r="AJ89" s="39"/>
      <c r="AK89" s="31" t="s">
        <v>250</v>
      </c>
      <c r="AL89" s="181">
        <f>IF(E89&gt;=DATE(2026,4,1),IF(OR($AK89="Khách hàng thông thường",$AK89="Khách hàng chuyển đổi xe xăng"),IFERROR(VLOOKUP($M89,'[1]CSBH THƯỞNG XE'!$U$3:$YY$800,3,0),0),IF($AK89="Khách hàng Khối Quân đội - Công An",IFERROR(VLOOKUP($M89,'[1]CSBH THƯỞNG XE'!$U$3:$X$600,4,0),0),IF($AK89="Khách hàng Giờ trái đất",IFERROR(VLOOKUP($M89,'[1]CSBH THƯỞNG XE'!$U$3:$Y$700,5,0),0),0))),0)</f>
        <v>19000000</v>
      </c>
      <c r="AM89" s="181"/>
      <c r="AN89" s="181"/>
      <c r="AO89" s="182">
        <f t="shared" si="22"/>
        <v>11400000</v>
      </c>
      <c r="AP89" s="182">
        <f t="shared" si="27"/>
        <v>11400000</v>
      </c>
      <c r="AQ89" s="183">
        <f t="shared" si="28"/>
        <v>14400000</v>
      </c>
      <c r="AR89" s="46">
        <f t="shared" si="23"/>
        <v>0</v>
      </c>
      <c r="AS89" s="46">
        <f t="shared" si="24"/>
        <v>3000000</v>
      </c>
      <c r="AT89" s="46">
        <v>0</v>
      </c>
      <c r="AU89" s="46">
        <v>0</v>
      </c>
      <c r="AV89" s="47"/>
      <c r="AW89" s="279"/>
      <c r="AX89" s="279"/>
      <c r="AZ89" s="280"/>
      <c r="BA89" s="281" t="s">
        <v>1983</v>
      </c>
      <c r="BB89" s="282">
        <f>VLOOKUP(H89,[1]NVKD!$C$1:$M$3296,11,0)</f>
        <v>3</v>
      </c>
      <c r="BC89" s="281" t="s">
        <v>1982</v>
      </c>
      <c r="BD89" s="283" t="str">
        <f t="shared" si="25"/>
        <v>Showroom Tân An</v>
      </c>
      <c r="BF89" s="284">
        <f t="shared" si="26"/>
        <v>0</v>
      </c>
      <c r="BG89" s="284">
        <f>IFERROR(IF(Y89=0,0, IF(Y89 / VLOOKUP(M89,'[1]CSBH THƯỞNG XE'!$U$3:$AA$1100,7,FALSE) &lt; 0.5,0,MIN((Y89 / VLOOKUP(M89,'[1]CSBH THƯỞNG XE'!$U$3:$AA$1100,7,FALSE)) * 20%,20%))),0)</f>
        <v>0</v>
      </c>
      <c r="BI89" s="263"/>
    </row>
    <row r="90" spans="1:61" ht="20.149999999999999" customHeight="1">
      <c r="A90" s="178">
        <v>46116</v>
      </c>
      <c r="B90" s="179">
        <f t="shared" si="19"/>
        <v>4</v>
      </c>
      <c r="C90" s="179">
        <f t="shared" si="20"/>
        <v>4</v>
      </c>
      <c r="D90" s="179">
        <f t="shared" si="21"/>
        <v>2026</v>
      </c>
      <c r="E90" s="178">
        <v>46135</v>
      </c>
      <c r="F90" s="26" t="s">
        <v>1129</v>
      </c>
      <c r="G90" s="27" t="s">
        <v>251</v>
      </c>
      <c r="H90" s="28" t="s">
        <v>279</v>
      </c>
      <c r="I90" s="28" t="s">
        <v>265</v>
      </c>
      <c r="J90" s="28" t="s">
        <v>701</v>
      </c>
      <c r="K90" s="29"/>
      <c r="L90" s="29"/>
      <c r="M90" s="30" t="s">
        <v>55</v>
      </c>
      <c r="N90" s="30" t="s">
        <v>256</v>
      </c>
      <c r="O90" s="31" t="s">
        <v>162</v>
      </c>
      <c r="P90" s="32"/>
      <c r="Q90" s="180">
        <v>1</v>
      </c>
      <c r="R90" s="32" t="s">
        <v>703</v>
      </c>
      <c r="S90" s="33"/>
      <c r="T90" s="33"/>
      <c r="U90" s="33">
        <v>248545455</v>
      </c>
      <c r="V90" s="33"/>
      <c r="W90" s="34"/>
      <c r="X90" s="35"/>
      <c r="Y90" s="34"/>
      <c r="Z90" s="35"/>
      <c r="AA90" s="36">
        <v>0</v>
      </c>
      <c r="AB90" s="36">
        <f t="shared" si="17"/>
        <v>0</v>
      </c>
      <c r="AC90" s="37">
        <f t="shared" si="18"/>
        <v>0</v>
      </c>
      <c r="AD90" s="40">
        <f t="shared" si="11"/>
        <v>0</v>
      </c>
      <c r="AE90" s="37"/>
      <c r="AF90" s="37"/>
      <c r="AG90" s="37"/>
      <c r="AH90" s="33"/>
      <c r="AI90" s="38"/>
      <c r="AJ90" s="39"/>
      <c r="AK90" s="31" t="s">
        <v>250</v>
      </c>
      <c r="AL90" s="181">
        <f>IF(E90&gt;=DATE(2026,4,1),IF(OR($AK90="Khách hàng thông thường",$AK90="Khách hàng chuyển đổi xe xăng"),IFERROR(VLOOKUP($M90,'[1]CSBH THƯỞNG XE'!$U$3:$YY$800,3,0),0),IF($AK90="Khách hàng Khối Quân đội - Công An",IFERROR(VLOOKUP($M90,'[1]CSBH THƯỞNG XE'!$U$3:$X$600,4,0),0),IF($AK90="Khách hàng Giờ trái đất",IFERROR(VLOOKUP($M90,'[1]CSBH THƯỞNG XE'!$U$3:$Y$700,5,0),0),0))),0)</f>
        <v>8000000</v>
      </c>
      <c r="AM90" s="181"/>
      <c r="AN90" s="181"/>
      <c r="AO90" s="182">
        <f t="shared" si="22"/>
        <v>4800000</v>
      </c>
      <c r="AP90" s="182">
        <f t="shared" si="27"/>
        <v>4800000</v>
      </c>
      <c r="AQ90" s="183">
        <f t="shared" si="28"/>
        <v>4800000</v>
      </c>
      <c r="AR90" s="46">
        <f t="shared" si="23"/>
        <v>0</v>
      </c>
      <c r="AS90" s="46">
        <f t="shared" si="24"/>
        <v>0</v>
      </c>
      <c r="AT90" s="46">
        <v>0</v>
      </c>
      <c r="AU90" s="46">
        <v>0</v>
      </c>
      <c r="AV90" s="47"/>
      <c r="AW90" s="279"/>
      <c r="AX90" s="279"/>
      <c r="AZ90" s="280"/>
      <c r="BA90" s="281" t="s">
        <v>1981</v>
      </c>
      <c r="BB90" s="282">
        <f>VLOOKUP(H90,[1]NVKD!$C$1:$M$3296,11,0)</f>
        <v>4</v>
      </c>
      <c r="BC90" s="281" t="s">
        <v>1982</v>
      </c>
      <c r="BD90" s="283" t="str">
        <f t="shared" si="25"/>
        <v>Showroom Tân An</v>
      </c>
      <c r="BF90" s="284">
        <f t="shared" si="26"/>
        <v>0</v>
      </c>
      <c r="BG90" s="284">
        <f>IFERROR(IF(Y90=0,0, IF(Y90 / VLOOKUP(M90,'[1]CSBH THƯỞNG XE'!$U$3:$AA$1100,7,FALSE) &lt; 0.5,0,MIN((Y90 / VLOOKUP(M90,'[1]CSBH THƯỞNG XE'!$U$3:$AA$1100,7,FALSE)) * 20%,20%))),0)</f>
        <v>0</v>
      </c>
      <c r="BI90" s="263"/>
    </row>
    <row r="91" spans="1:61" ht="20.149999999999999" customHeight="1">
      <c r="A91" s="178">
        <v>46086</v>
      </c>
      <c r="B91" s="179">
        <f t="shared" si="19"/>
        <v>5</v>
      </c>
      <c r="C91" s="179">
        <f t="shared" si="20"/>
        <v>3</v>
      </c>
      <c r="D91" s="179">
        <f t="shared" si="21"/>
        <v>2026</v>
      </c>
      <c r="E91" s="178">
        <v>46135</v>
      </c>
      <c r="F91" s="26" t="s">
        <v>1130</v>
      </c>
      <c r="G91" s="27" t="s">
        <v>251</v>
      </c>
      <c r="H91" s="28" t="s">
        <v>279</v>
      </c>
      <c r="I91" s="28" t="s">
        <v>265</v>
      </c>
      <c r="J91" s="28" t="s">
        <v>698</v>
      </c>
      <c r="K91" s="29"/>
      <c r="L91" s="29"/>
      <c r="M91" s="30" t="s">
        <v>114</v>
      </c>
      <c r="N91" s="30" t="s">
        <v>255</v>
      </c>
      <c r="O91" s="31" t="s">
        <v>52</v>
      </c>
      <c r="P91" s="32"/>
      <c r="Q91" s="180">
        <v>1</v>
      </c>
      <c r="R91" s="32" t="s">
        <v>700</v>
      </c>
      <c r="S91" s="33"/>
      <c r="T91" s="33"/>
      <c r="U91" s="33">
        <v>613431000</v>
      </c>
      <c r="V91" s="33"/>
      <c r="W91" s="34"/>
      <c r="X91" s="35"/>
      <c r="Y91" s="34"/>
      <c r="Z91" s="35"/>
      <c r="AA91" s="36">
        <v>0</v>
      </c>
      <c r="AB91" s="36">
        <f t="shared" si="17"/>
        <v>0</v>
      </c>
      <c r="AC91" s="37">
        <f t="shared" si="18"/>
        <v>0</v>
      </c>
      <c r="AD91" s="40">
        <f t="shared" si="11"/>
        <v>0</v>
      </c>
      <c r="AE91" s="37"/>
      <c r="AF91" s="37"/>
      <c r="AG91" s="37"/>
      <c r="AH91" s="33"/>
      <c r="AI91" s="38"/>
      <c r="AJ91" s="39"/>
      <c r="AK91" s="31" t="s">
        <v>250</v>
      </c>
      <c r="AL91" s="181">
        <f>IF(E91&gt;=DATE(2026,4,1),IF(OR($AK91="Khách hàng thông thường",$AK91="Khách hàng chuyển đổi xe xăng"),IFERROR(VLOOKUP($M91,'[1]CSBH THƯỞNG XE'!$U$3:$YY$800,3,0),0),IF($AK91="Khách hàng Khối Quân đội - Công An",IFERROR(VLOOKUP($M91,'[1]CSBH THƯỞNG XE'!$U$3:$X$600,4,0),0),IF($AK91="Khách hàng Giờ trái đất",IFERROR(VLOOKUP($M91,'[1]CSBH THƯỞNG XE'!$U$3:$Y$700,5,0),0),0))),0)</f>
        <v>19000000</v>
      </c>
      <c r="AM91" s="181"/>
      <c r="AN91" s="181"/>
      <c r="AO91" s="182">
        <f t="shared" si="22"/>
        <v>11400000</v>
      </c>
      <c r="AP91" s="182">
        <f t="shared" si="27"/>
        <v>11400000</v>
      </c>
      <c r="AQ91" s="183">
        <f t="shared" si="28"/>
        <v>11400000</v>
      </c>
      <c r="AR91" s="46">
        <f t="shared" si="23"/>
        <v>0</v>
      </c>
      <c r="AS91" s="46">
        <f t="shared" si="24"/>
        <v>0</v>
      </c>
      <c r="AT91" s="46">
        <v>0</v>
      </c>
      <c r="AU91" s="46">
        <v>0</v>
      </c>
      <c r="AV91" s="47"/>
      <c r="AW91" s="279"/>
      <c r="AX91" s="279"/>
      <c r="AZ91" s="280"/>
      <c r="BA91" s="281" t="s">
        <v>1983</v>
      </c>
      <c r="BB91" s="282">
        <f>VLOOKUP(H91,[1]NVKD!$C$1:$M$3296,11,0)</f>
        <v>4</v>
      </c>
      <c r="BC91" s="281" t="s">
        <v>1982</v>
      </c>
      <c r="BD91" s="283" t="str">
        <f t="shared" si="25"/>
        <v>Showroom Tân An</v>
      </c>
      <c r="BF91" s="284">
        <f t="shared" si="26"/>
        <v>0</v>
      </c>
      <c r="BG91" s="284">
        <f>IFERROR(IF(Y91=0,0, IF(Y91 / VLOOKUP(M91,'[1]CSBH THƯỞNG XE'!$U$3:$AA$1100,7,FALSE) &lt; 0.5,0,MIN((Y91 / VLOOKUP(M91,'[1]CSBH THƯỞNG XE'!$U$3:$AA$1100,7,FALSE)) * 20%,20%))),0)</f>
        <v>0</v>
      </c>
      <c r="BI91" s="263"/>
    </row>
    <row r="92" spans="1:61" ht="20.149999999999999" customHeight="1">
      <c r="A92" s="178">
        <v>46118</v>
      </c>
      <c r="B92" s="179">
        <f t="shared" si="19"/>
        <v>6</v>
      </c>
      <c r="C92" s="179">
        <f t="shared" si="20"/>
        <v>4</v>
      </c>
      <c r="D92" s="179">
        <f t="shared" si="21"/>
        <v>2026</v>
      </c>
      <c r="E92" s="178">
        <v>46135</v>
      </c>
      <c r="F92" s="26" t="s">
        <v>1131</v>
      </c>
      <c r="G92" s="27" t="s">
        <v>254</v>
      </c>
      <c r="H92" s="28" t="s">
        <v>709</v>
      </c>
      <c r="I92" s="28" t="s">
        <v>169</v>
      </c>
      <c r="J92" s="28" t="s">
        <v>1132</v>
      </c>
      <c r="K92" s="29"/>
      <c r="L92" s="29"/>
      <c r="M92" s="30" t="s">
        <v>114</v>
      </c>
      <c r="N92" s="30" t="s">
        <v>255</v>
      </c>
      <c r="O92" s="31" t="s">
        <v>52</v>
      </c>
      <c r="P92" s="32"/>
      <c r="Q92" s="180">
        <v>1</v>
      </c>
      <c r="R92" s="32" t="s">
        <v>712</v>
      </c>
      <c r="S92" s="33"/>
      <c r="T92" s="33"/>
      <c r="U92" s="33">
        <v>632781818</v>
      </c>
      <c r="V92" s="33"/>
      <c r="W92" s="34">
        <v>13051020</v>
      </c>
      <c r="X92" s="35"/>
      <c r="Y92" s="34">
        <v>4202111</v>
      </c>
      <c r="Z92" s="35"/>
      <c r="AA92" s="36">
        <v>8000000</v>
      </c>
      <c r="AB92" s="36">
        <f t="shared" si="17"/>
        <v>8000000</v>
      </c>
      <c r="AC92" s="37">
        <f t="shared" si="18"/>
        <v>8000000</v>
      </c>
      <c r="AD92" s="40">
        <f t="shared" si="11"/>
        <v>8000000</v>
      </c>
      <c r="AE92" s="37"/>
      <c r="AF92" s="37"/>
      <c r="AG92" s="37"/>
      <c r="AH92" s="33"/>
      <c r="AI92" s="38"/>
      <c r="AJ92" s="39"/>
      <c r="AK92" s="31" t="s">
        <v>250</v>
      </c>
      <c r="AL92" s="181">
        <f>IF(E92&gt;=DATE(2026,4,1),IF(OR($AK92="Khách hàng thông thường",$AK92="Khách hàng chuyển đổi xe xăng"),IFERROR(VLOOKUP($M92,'[1]CSBH THƯỞNG XE'!$U$3:$YY$800,3,0),0),IF($AK92="Khách hàng Khối Quân đội - Công An",IFERROR(VLOOKUP($M92,'[1]CSBH THƯỞNG XE'!$U$3:$X$600,4,0),0),IF($AK92="Khách hàng Giờ trái đất",IFERROR(VLOOKUP($M92,'[1]CSBH THƯỞNG XE'!$U$3:$Y$700,5,0),0),0))),0)</f>
        <v>19000000</v>
      </c>
      <c r="AM92" s="181"/>
      <c r="AN92" s="181"/>
      <c r="AO92" s="182">
        <f t="shared" si="22"/>
        <v>11000000</v>
      </c>
      <c r="AP92" s="182">
        <f t="shared" si="27"/>
        <v>11000000</v>
      </c>
      <c r="AQ92" s="183">
        <f t="shared" si="28"/>
        <v>11000000</v>
      </c>
      <c r="AR92" s="46">
        <f t="shared" si="23"/>
        <v>0</v>
      </c>
      <c r="AS92" s="46">
        <f t="shared" si="24"/>
        <v>0</v>
      </c>
      <c r="AT92" s="46">
        <v>0</v>
      </c>
      <c r="AU92" s="46">
        <v>13051020</v>
      </c>
      <c r="AV92" s="34">
        <v>4202111</v>
      </c>
      <c r="AW92" s="279"/>
      <c r="AX92" s="279"/>
      <c r="AZ92" s="280"/>
      <c r="BA92" s="281">
        <v>0</v>
      </c>
      <c r="BB92" s="282">
        <f>VLOOKUP(H92,[1]NVKD!$C$1:$M$3296,11,0)</f>
        <v>1</v>
      </c>
      <c r="BC92" s="281" t="s">
        <v>1982</v>
      </c>
      <c r="BD92" s="283" t="str">
        <f t="shared" si="25"/>
        <v>Showroom Sala</v>
      </c>
      <c r="BF92" s="284">
        <f t="shared" si="26"/>
        <v>0.2</v>
      </c>
      <c r="BG92" s="284">
        <f>IFERROR(IF(Y92=0,0, IF(Y92 / VLOOKUP(M92,'[1]CSBH THƯỞNG XE'!$U$3:$AA$1100,7,FALSE) &lt; 0.5,0,MIN((Y92 / VLOOKUP(M92,'[1]CSBH THƯỞNG XE'!$U$3:$AA$1100,7,FALSE)) * 20%,20%))),0)</f>
        <v>0.2</v>
      </c>
      <c r="BI92" s="263"/>
    </row>
    <row r="93" spans="1:61" ht="20.149999999999999" customHeight="1">
      <c r="A93" s="178">
        <v>46046</v>
      </c>
      <c r="B93" s="179">
        <f t="shared" si="19"/>
        <v>24</v>
      </c>
      <c r="C93" s="179">
        <f t="shared" si="20"/>
        <v>1</v>
      </c>
      <c r="D93" s="179">
        <f t="shared" si="21"/>
        <v>2026</v>
      </c>
      <c r="E93" s="178">
        <v>46135</v>
      </c>
      <c r="F93" s="26" t="s">
        <v>1133</v>
      </c>
      <c r="G93" s="27" t="s">
        <v>258</v>
      </c>
      <c r="H93" s="28" t="s">
        <v>139</v>
      </c>
      <c r="I93" s="28" t="s">
        <v>259</v>
      </c>
      <c r="J93" s="28" t="s">
        <v>1134</v>
      </c>
      <c r="K93" s="29"/>
      <c r="L93" s="29"/>
      <c r="M93" s="30" t="s">
        <v>114</v>
      </c>
      <c r="N93" s="30" t="s">
        <v>255</v>
      </c>
      <c r="O93" s="31" t="s">
        <v>114</v>
      </c>
      <c r="P93" s="32"/>
      <c r="Q93" s="180">
        <v>1</v>
      </c>
      <c r="R93" s="32" t="s">
        <v>819</v>
      </c>
      <c r="S93" s="33"/>
      <c r="T93" s="33"/>
      <c r="U93" s="33">
        <v>629145455</v>
      </c>
      <c r="V93" s="33"/>
      <c r="W93" s="34"/>
      <c r="X93" s="35"/>
      <c r="Y93" s="34"/>
      <c r="Z93" s="35"/>
      <c r="AA93" s="36">
        <v>12000000</v>
      </c>
      <c r="AB93" s="36">
        <f t="shared" si="17"/>
        <v>12000000</v>
      </c>
      <c r="AC93" s="37">
        <f t="shared" si="18"/>
        <v>12000000</v>
      </c>
      <c r="AD93" s="40">
        <f t="shared" si="11"/>
        <v>12000000</v>
      </c>
      <c r="AE93" s="37"/>
      <c r="AF93" s="37"/>
      <c r="AG93" s="37"/>
      <c r="AH93" s="33"/>
      <c r="AI93" s="38"/>
      <c r="AJ93" s="39"/>
      <c r="AK93" s="31" t="s">
        <v>250</v>
      </c>
      <c r="AL93" s="181">
        <f>IF(E93&gt;=DATE(2026,4,1),IF(OR($AK93="Khách hàng thông thường",$AK93="Khách hàng chuyển đổi xe xăng"),IFERROR(VLOOKUP($M93,'[1]CSBH THƯỞNG XE'!$U$3:$YY$800,3,0),0),IF($AK93="Khách hàng Khối Quân đội - Công An",IFERROR(VLOOKUP($M93,'[1]CSBH THƯỞNG XE'!$U$3:$X$600,4,0),0),IF($AK93="Khách hàng Giờ trái đất",IFERROR(VLOOKUP($M93,'[1]CSBH THƯỞNG XE'!$U$3:$Y$700,5,0),0),0))),0)</f>
        <v>19000000</v>
      </c>
      <c r="AM93" s="181"/>
      <c r="AN93" s="181"/>
      <c r="AO93" s="182">
        <f t="shared" si="22"/>
        <v>4200000</v>
      </c>
      <c r="AP93" s="182">
        <f t="shared" si="27"/>
        <v>4200000</v>
      </c>
      <c r="AQ93" s="183">
        <f t="shared" si="28"/>
        <v>4200000</v>
      </c>
      <c r="AR93" s="46">
        <f t="shared" si="23"/>
        <v>0</v>
      </c>
      <c r="AS93" s="46">
        <f t="shared" si="24"/>
        <v>0</v>
      </c>
      <c r="AT93" s="46">
        <v>0</v>
      </c>
      <c r="AU93" s="46">
        <v>0</v>
      </c>
      <c r="AV93" s="47"/>
      <c r="AW93" s="279"/>
      <c r="AX93" s="279"/>
      <c r="AZ93" s="280"/>
      <c r="BA93" s="281" t="s">
        <v>1983</v>
      </c>
      <c r="BB93" s="282">
        <f>VLOOKUP(H93,[1]NVKD!$C$1:$M$3296,11,0)</f>
        <v>8</v>
      </c>
      <c r="BC93" s="281" t="s">
        <v>1982</v>
      </c>
      <c r="BD93" s="283" t="str">
        <f t="shared" si="25"/>
        <v>Showroom 50 Nguyễn Văn Tăng</v>
      </c>
      <c r="BF93" s="284">
        <f t="shared" si="26"/>
        <v>0</v>
      </c>
      <c r="BG93" s="284">
        <f>IFERROR(IF(Y93=0,0, IF(Y93 / VLOOKUP(M93,'[1]CSBH THƯỞNG XE'!$U$3:$AA$1100,7,FALSE) &lt; 0.5,0,MIN((Y93 / VLOOKUP(M93,'[1]CSBH THƯỞNG XE'!$U$3:$AA$1100,7,FALSE)) * 20%,20%))),0)</f>
        <v>0</v>
      </c>
      <c r="BI93" s="263"/>
    </row>
    <row r="94" spans="1:61" ht="20.149999999999999" customHeight="1">
      <c r="A94" s="178">
        <v>46109</v>
      </c>
      <c r="B94" s="179">
        <f t="shared" si="19"/>
        <v>28</v>
      </c>
      <c r="C94" s="179">
        <f t="shared" si="20"/>
        <v>3</v>
      </c>
      <c r="D94" s="179">
        <f t="shared" si="21"/>
        <v>2026</v>
      </c>
      <c r="E94" s="178">
        <v>46139</v>
      </c>
      <c r="F94" s="26" t="s">
        <v>1135</v>
      </c>
      <c r="G94" s="27" t="s">
        <v>254</v>
      </c>
      <c r="H94" s="28" t="s">
        <v>325</v>
      </c>
      <c r="I94" s="28" t="s">
        <v>169</v>
      </c>
      <c r="J94" s="28" t="s">
        <v>325</v>
      </c>
      <c r="K94" s="29"/>
      <c r="L94" s="29"/>
      <c r="M94" s="30" t="s">
        <v>51</v>
      </c>
      <c r="N94" s="30" t="s">
        <v>255</v>
      </c>
      <c r="O94" s="31" t="s">
        <v>723</v>
      </c>
      <c r="P94" s="32"/>
      <c r="Q94" s="180">
        <v>1</v>
      </c>
      <c r="R94" s="32" t="s">
        <v>725</v>
      </c>
      <c r="S94" s="33"/>
      <c r="T94" s="33"/>
      <c r="U94" s="33">
        <v>763172727</v>
      </c>
      <c r="V94" s="33"/>
      <c r="W94" s="34">
        <v>8814000</v>
      </c>
      <c r="X94" s="35"/>
      <c r="Y94" s="34"/>
      <c r="Z94" s="35"/>
      <c r="AA94" s="36">
        <v>15000000</v>
      </c>
      <c r="AB94" s="36">
        <f t="shared" si="17"/>
        <v>15000000</v>
      </c>
      <c r="AC94" s="37">
        <f t="shared" si="18"/>
        <v>15000000</v>
      </c>
      <c r="AD94" s="40">
        <f t="shared" si="11"/>
        <v>15000000</v>
      </c>
      <c r="AE94" s="37"/>
      <c r="AF94" s="37"/>
      <c r="AG94" s="37"/>
      <c r="AH94" s="33"/>
      <c r="AI94" s="38"/>
      <c r="AJ94" s="39"/>
      <c r="AK94" s="42" t="s">
        <v>271</v>
      </c>
      <c r="AL94" s="181">
        <f>IF(E94&gt;=DATE(2026,4,1),IF(OR($AK94="Khách hàng thông thường",$AK94="Khách hàng chuyển đổi xe xăng"),IFERROR(VLOOKUP($M94,'[1]CSBH THƯỞNG XE'!$U$3:$YY$800,3,0),0),IF($AK94="Khách hàng Khối Quân đội - Công An",IFERROR(VLOOKUP($M94,'[1]CSBH THƯỞNG XE'!$U$3:$X$600,4,0),0),IF($AK94="Khách hàng Giờ trái đất",IFERROR(VLOOKUP($M94,'[1]CSBH THƯỞNG XE'!$U$3:$Y$700,5,0),0),0))),0)</f>
        <v>14000000</v>
      </c>
      <c r="AM94" s="181"/>
      <c r="AN94" s="181"/>
      <c r="AO94" s="182">
        <f t="shared" si="22"/>
        <v>-800000</v>
      </c>
      <c r="AP94" s="182">
        <f t="shared" si="27"/>
        <v>-800000</v>
      </c>
      <c r="AQ94" s="183">
        <f t="shared" si="28"/>
        <v>-800000</v>
      </c>
      <c r="AR94" s="46">
        <f t="shared" si="23"/>
        <v>0</v>
      </c>
      <c r="AS94" s="46">
        <f t="shared" si="24"/>
        <v>0</v>
      </c>
      <c r="AT94" s="46">
        <v>13000000</v>
      </c>
      <c r="AU94" s="46">
        <v>8814000</v>
      </c>
      <c r="AV94" s="47"/>
      <c r="AW94" s="279"/>
      <c r="AX94" s="279"/>
      <c r="AZ94" s="280"/>
      <c r="BA94" s="281">
        <v>0</v>
      </c>
      <c r="BB94" s="282">
        <f>VLOOKUP(H94,[1]NVKD!$C$1:$M$3296,11,0)</f>
        <v>4</v>
      </c>
      <c r="BC94" s="281" t="s">
        <v>1982</v>
      </c>
      <c r="BD94" s="283" t="str">
        <f t="shared" si="25"/>
        <v>Showroom Sala</v>
      </c>
      <c r="BF94" s="284">
        <f t="shared" si="26"/>
        <v>0.2</v>
      </c>
      <c r="BG94" s="284">
        <f>IFERROR(IF(Y94=0,0, IF(Y94 / VLOOKUP(M94,'[1]CSBH THƯỞNG XE'!$U$3:$AA$1100,7,FALSE) &lt; 0.5,0,MIN((Y94 / VLOOKUP(M94,'[1]CSBH THƯỞNG XE'!$U$3:$AA$1100,7,FALSE)) * 20%,20%))),0)</f>
        <v>0</v>
      </c>
      <c r="BI94" s="263"/>
    </row>
    <row r="95" spans="1:61" ht="20.149999999999999" customHeight="1">
      <c r="A95" s="178">
        <v>46111</v>
      </c>
      <c r="B95" s="179">
        <f t="shared" si="19"/>
        <v>30</v>
      </c>
      <c r="C95" s="179">
        <f t="shared" si="20"/>
        <v>3</v>
      </c>
      <c r="D95" s="179">
        <f t="shared" si="21"/>
        <v>2026</v>
      </c>
      <c r="E95" s="178">
        <v>46139</v>
      </c>
      <c r="F95" s="26" t="s">
        <v>1136</v>
      </c>
      <c r="G95" s="27" t="s">
        <v>246</v>
      </c>
      <c r="H95" s="28" t="s">
        <v>132</v>
      </c>
      <c r="I95" s="28" t="s">
        <v>247</v>
      </c>
      <c r="J95" s="28" t="s">
        <v>878</v>
      </c>
      <c r="K95" s="29"/>
      <c r="L95" s="29"/>
      <c r="M95" s="30" t="s">
        <v>110</v>
      </c>
      <c r="N95" s="30" t="s">
        <v>255</v>
      </c>
      <c r="O95" s="31" t="s">
        <v>105</v>
      </c>
      <c r="P95" s="32"/>
      <c r="Q95" s="180">
        <v>1</v>
      </c>
      <c r="R95" s="32" t="s">
        <v>880</v>
      </c>
      <c r="S95" s="33"/>
      <c r="T95" s="33"/>
      <c r="U95" s="33">
        <v>444418182</v>
      </c>
      <c r="V95" s="33"/>
      <c r="W95" s="34"/>
      <c r="X95" s="35"/>
      <c r="Y95" s="34"/>
      <c r="Z95" s="35"/>
      <c r="AA95" s="36">
        <v>8400000</v>
      </c>
      <c r="AB95" s="36">
        <f t="shared" si="17"/>
        <v>8400000</v>
      </c>
      <c r="AC95" s="37">
        <f t="shared" si="18"/>
        <v>8400000</v>
      </c>
      <c r="AD95" s="40">
        <f t="shared" si="11"/>
        <v>8400000</v>
      </c>
      <c r="AE95" s="37"/>
      <c r="AF95" s="37"/>
      <c r="AG95" s="37"/>
      <c r="AH95" s="33"/>
      <c r="AI95" s="38"/>
      <c r="AJ95" s="39"/>
      <c r="AK95" s="31" t="s">
        <v>250</v>
      </c>
      <c r="AL95" s="181">
        <f>IF(E95&gt;=DATE(2026,4,1),IF(OR($AK95="Khách hàng thông thường",$AK95="Khách hàng chuyển đổi xe xăng"),IFERROR(VLOOKUP($M95,'[1]CSBH THƯỞNG XE'!$U$3:$YY$800,3,0),0),IF($AK95="Khách hàng Khối Quân đội - Công An",IFERROR(VLOOKUP($M95,'[1]CSBH THƯỞNG XE'!$U$3:$X$600,4,0),0),IF($AK95="Khách hàng Giờ trái đất",IFERROR(VLOOKUP($M95,'[1]CSBH THƯỞNG XE'!$U$3:$Y$700,5,0),0),0))),0)</f>
        <v>16000000</v>
      </c>
      <c r="AM95" s="181"/>
      <c r="AN95" s="181"/>
      <c r="AO95" s="182">
        <f t="shared" si="22"/>
        <v>4560000</v>
      </c>
      <c r="AP95" s="182">
        <f t="shared" si="27"/>
        <v>4560000</v>
      </c>
      <c r="AQ95" s="183">
        <f t="shared" si="28"/>
        <v>4560000</v>
      </c>
      <c r="AR95" s="46">
        <f t="shared" si="23"/>
        <v>0</v>
      </c>
      <c r="AS95" s="46">
        <f t="shared" si="24"/>
        <v>0</v>
      </c>
      <c r="AT95" s="46">
        <v>0</v>
      </c>
      <c r="AU95" s="46">
        <v>0</v>
      </c>
      <c r="AV95" s="47"/>
      <c r="AW95" s="279"/>
      <c r="AX95" s="279"/>
      <c r="AZ95" s="280"/>
      <c r="BA95" s="281" t="s">
        <v>1981</v>
      </c>
      <c r="BB95" s="282">
        <f>VLOOKUP(H95,[1]NVKD!$C$1:$M$3296,11,0)</f>
        <v>10</v>
      </c>
      <c r="BC95" s="281" t="s">
        <v>1982</v>
      </c>
      <c r="BD95" s="283" t="str">
        <f t="shared" si="25"/>
        <v>Showroom Bến Lức</v>
      </c>
      <c r="BF95" s="284">
        <f t="shared" si="26"/>
        <v>0</v>
      </c>
      <c r="BG95" s="284">
        <f>IFERROR(IF(Y95=0,0, IF(Y95 / VLOOKUP(M95,'[1]CSBH THƯỞNG XE'!$U$3:$AA$1100,7,FALSE) &lt; 0.5,0,MIN((Y95 / VLOOKUP(M95,'[1]CSBH THƯỞNG XE'!$U$3:$AA$1100,7,FALSE)) * 20%,20%))),0)</f>
        <v>0</v>
      </c>
      <c r="BI95" s="263"/>
    </row>
    <row r="96" spans="1:61" ht="20.149999999999999" customHeight="1">
      <c r="A96" s="178">
        <v>46118</v>
      </c>
      <c r="B96" s="179">
        <f t="shared" si="19"/>
        <v>6</v>
      </c>
      <c r="C96" s="179">
        <f t="shared" si="20"/>
        <v>4</v>
      </c>
      <c r="D96" s="179">
        <f t="shared" si="21"/>
        <v>2026</v>
      </c>
      <c r="E96" s="178">
        <v>46140</v>
      </c>
      <c r="F96" s="26" t="s">
        <v>1137</v>
      </c>
      <c r="G96" s="27" t="s">
        <v>246</v>
      </c>
      <c r="H96" s="28" t="s">
        <v>132</v>
      </c>
      <c r="I96" s="28" t="s">
        <v>247</v>
      </c>
      <c r="J96" s="28" t="s">
        <v>890</v>
      </c>
      <c r="K96" s="29"/>
      <c r="L96" s="29"/>
      <c r="M96" s="30" t="s">
        <v>56</v>
      </c>
      <c r="N96" s="30" t="s">
        <v>1138</v>
      </c>
      <c r="O96" s="31" t="s">
        <v>105</v>
      </c>
      <c r="P96" s="32"/>
      <c r="Q96" s="180">
        <v>1</v>
      </c>
      <c r="R96" s="32" t="s">
        <v>892</v>
      </c>
      <c r="S96" s="33"/>
      <c r="T96" s="33"/>
      <c r="U96" s="33">
        <v>261754545</v>
      </c>
      <c r="V96" s="33"/>
      <c r="W96" s="34"/>
      <c r="X96" s="35"/>
      <c r="Y96" s="34"/>
      <c r="Z96" s="35"/>
      <c r="AA96" s="36">
        <v>6000000</v>
      </c>
      <c r="AB96" s="36">
        <f t="shared" si="17"/>
        <v>6000000</v>
      </c>
      <c r="AC96" s="37">
        <f t="shared" si="18"/>
        <v>6000000</v>
      </c>
      <c r="AD96" s="40">
        <f t="shared" si="11"/>
        <v>6000000</v>
      </c>
      <c r="AE96" s="37"/>
      <c r="AF96" s="37"/>
      <c r="AG96" s="37"/>
      <c r="AH96" s="33"/>
      <c r="AI96" s="38"/>
      <c r="AJ96" s="39"/>
      <c r="AK96" s="31" t="s">
        <v>250</v>
      </c>
      <c r="AL96" s="181">
        <f>IF(E96&gt;=DATE(2026,4,1),IF(OR($AK96="Khách hàng thông thường",$AK96="Khách hàng chuyển đổi xe xăng"),IFERROR(VLOOKUP($M96,'[1]CSBH THƯỞNG XE'!$U$3:$YY$800,3,0),0),IF($AK96="Khách hàng Khối Quân đội - Công An",IFERROR(VLOOKUP($M96,'[1]CSBH THƯỞNG XE'!$U$3:$X$600,4,0),0),IF($AK96="Khách hàng Giờ trái đất",IFERROR(VLOOKUP($M96,'[1]CSBH THƯỞNG XE'!$U$3:$Y$700,5,0),0),0))),0)</f>
        <v>8500000</v>
      </c>
      <c r="AM96" s="181"/>
      <c r="AN96" s="181"/>
      <c r="AO96" s="182">
        <f t="shared" si="22"/>
        <v>1500000</v>
      </c>
      <c r="AP96" s="182">
        <f t="shared" si="27"/>
        <v>1500000</v>
      </c>
      <c r="AQ96" s="183">
        <f t="shared" si="28"/>
        <v>1500000</v>
      </c>
      <c r="AR96" s="46">
        <f t="shared" si="23"/>
        <v>0</v>
      </c>
      <c r="AS96" s="46">
        <f t="shared" si="24"/>
        <v>0</v>
      </c>
      <c r="AT96" s="46">
        <v>0</v>
      </c>
      <c r="AU96" s="46">
        <v>0</v>
      </c>
      <c r="AV96" s="47"/>
      <c r="AW96" s="279"/>
      <c r="AX96" s="279"/>
      <c r="AZ96" s="280"/>
      <c r="BA96" s="281" t="s">
        <v>1981</v>
      </c>
      <c r="BB96" s="282">
        <f>VLOOKUP(H96,[1]NVKD!$C$1:$M$3296,11,0)</f>
        <v>10</v>
      </c>
      <c r="BC96" s="281" t="s">
        <v>1982</v>
      </c>
      <c r="BD96" s="283" t="str">
        <f t="shared" si="25"/>
        <v>Showroom Bến Lức</v>
      </c>
      <c r="BF96" s="284">
        <f t="shared" si="26"/>
        <v>0</v>
      </c>
      <c r="BG96" s="284">
        <f>IFERROR(IF(Y96=0,0, IF(Y96 / VLOOKUP(M96,'[1]CSBH THƯỞNG XE'!$U$3:$AA$1100,7,FALSE) &lt; 0.5,0,MIN((Y96 / VLOOKUP(M96,'[1]CSBH THƯỞNG XE'!$U$3:$AA$1100,7,FALSE)) * 20%,20%))),0)</f>
        <v>0</v>
      </c>
      <c r="BI96" s="263"/>
    </row>
    <row r="97" spans="1:61" ht="20.149999999999999" customHeight="1">
      <c r="A97" s="178">
        <v>46109</v>
      </c>
      <c r="B97" s="179">
        <f t="shared" si="19"/>
        <v>28</v>
      </c>
      <c r="C97" s="179">
        <f t="shared" si="20"/>
        <v>3</v>
      </c>
      <c r="D97" s="179">
        <f t="shared" si="21"/>
        <v>2026</v>
      </c>
      <c r="E97" s="178">
        <v>46140</v>
      </c>
      <c r="F97" s="26" t="s">
        <v>1139</v>
      </c>
      <c r="G97" s="27" t="s">
        <v>258</v>
      </c>
      <c r="H97" s="28" t="s">
        <v>146</v>
      </c>
      <c r="I97" s="28" t="s">
        <v>261</v>
      </c>
      <c r="J97" s="28" t="s">
        <v>1140</v>
      </c>
      <c r="K97" s="29"/>
      <c r="L97" s="29"/>
      <c r="M97" s="30" t="s">
        <v>114</v>
      </c>
      <c r="N97" s="30" t="s">
        <v>255</v>
      </c>
      <c r="O97" s="31" t="s">
        <v>114</v>
      </c>
      <c r="P97" s="32"/>
      <c r="Q97" s="180">
        <v>1</v>
      </c>
      <c r="R97" s="32" t="s">
        <v>832</v>
      </c>
      <c r="S97" s="33"/>
      <c r="T97" s="33"/>
      <c r="U97" s="33">
        <v>629145455</v>
      </c>
      <c r="V97" s="33"/>
      <c r="W97" s="34"/>
      <c r="X97" s="35"/>
      <c r="Y97" s="34"/>
      <c r="Z97" s="35"/>
      <c r="AA97" s="36">
        <v>12000000</v>
      </c>
      <c r="AB97" s="36">
        <f t="shared" si="17"/>
        <v>12000000</v>
      </c>
      <c r="AC97" s="37">
        <f t="shared" si="18"/>
        <v>12000000</v>
      </c>
      <c r="AD97" s="40">
        <f t="shared" si="11"/>
        <v>12000000</v>
      </c>
      <c r="AE97" s="37"/>
      <c r="AF97" s="37"/>
      <c r="AG97" s="37"/>
      <c r="AH97" s="33"/>
      <c r="AI97" s="38"/>
      <c r="AJ97" s="39"/>
      <c r="AK97" s="31" t="s">
        <v>250</v>
      </c>
      <c r="AL97" s="181">
        <f>IF(E97&gt;=DATE(2026,4,1),IF(OR($AK97="Khách hàng thông thường",$AK97="Khách hàng chuyển đổi xe xăng"),IFERROR(VLOOKUP($M97,'[1]CSBH THƯỞNG XE'!$U$3:$YY$800,3,0),0),IF($AK97="Khách hàng Khối Quân đội - Công An",IFERROR(VLOOKUP($M97,'[1]CSBH THƯỞNG XE'!$U$3:$X$600,4,0),0),IF($AK97="Khách hàng Giờ trái đất",IFERROR(VLOOKUP($M97,'[1]CSBH THƯỞNG XE'!$U$3:$Y$700,5,0),0),0))),0)</f>
        <v>19000000</v>
      </c>
      <c r="AM97" s="181"/>
      <c r="AN97" s="181"/>
      <c r="AO97" s="182">
        <f t="shared" si="22"/>
        <v>4200000</v>
      </c>
      <c r="AP97" s="182">
        <f t="shared" si="27"/>
        <v>4200000</v>
      </c>
      <c r="AQ97" s="183">
        <f t="shared" si="28"/>
        <v>4200000</v>
      </c>
      <c r="AR97" s="46">
        <f t="shared" si="23"/>
        <v>0</v>
      </c>
      <c r="AS97" s="46">
        <f t="shared" si="24"/>
        <v>0</v>
      </c>
      <c r="AT97" s="46">
        <v>0</v>
      </c>
      <c r="AU97" s="46">
        <v>0</v>
      </c>
      <c r="AV97" s="47"/>
      <c r="AW97" s="279"/>
      <c r="AX97" s="279"/>
      <c r="AZ97" s="280"/>
      <c r="BA97" s="281" t="s">
        <v>1983</v>
      </c>
      <c r="BB97" s="282">
        <f>VLOOKUP(H97,[1]NVKD!$C$1:$M$3296,11,0)</f>
        <v>3</v>
      </c>
      <c r="BC97" s="281" t="s">
        <v>1982</v>
      </c>
      <c r="BD97" s="283" t="str">
        <f t="shared" si="25"/>
        <v>Showroom 50 Nguyễn Văn Tăng</v>
      </c>
      <c r="BF97" s="284">
        <f t="shared" si="26"/>
        <v>0</v>
      </c>
      <c r="BG97" s="284">
        <f>IFERROR(IF(Y97=0,0, IF(Y97 / VLOOKUP(M97,'[1]CSBH THƯỞNG XE'!$U$3:$AA$1100,7,FALSE) &lt; 0.5,0,MIN((Y97 / VLOOKUP(M97,'[1]CSBH THƯỞNG XE'!$U$3:$AA$1100,7,FALSE)) * 20%,20%))),0)</f>
        <v>0</v>
      </c>
      <c r="BI97" s="263"/>
    </row>
    <row r="98" spans="1:61" ht="20.149999999999999" customHeight="1">
      <c r="A98" s="178">
        <v>46107</v>
      </c>
      <c r="B98" s="179">
        <f t="shared" si="19"/>
        <v>26</v>
      </c>
      <c r="C98" s="179">
        <f t="shared" si="20"/>
        <v>3</v>
      </c>
      <c r="D98" s="179">
        <f t="shared" si="21"/>
        <v>2026</v>
      </c>
      <c r="E98" s="178">
        <v>46139</v>
      </c>
      <c r="F98" s="26" t="s">
        <v>1141</v>
      </c>
      <c r="G98" s="27" t="s">
        <v>246</v>
      </c>
      <c r="H98" s="28" t="s">
        <v>135</v>
      </c>
      <c r="I98" s="28" t="s">
        <v>286</v>
      </c>
      <c r="J98" s="28" t="s">
        <v>881</v>
      </c>
      <c r="K98" s="29"/>
      <c r="L98" s="29"/>
      <c r="M98" s="30" t="s">
        <v>276</v>
      </c>
      <c r="N98" s="30" t="s">
        <v>1142</v>
      </c>
      <c r="O98" s="31" t="s">
        <v>105</v>
      </c>
      <c r="P98" s="32"/>
      <c r="Q98" s="180">
        <v>1</v>
      </c>
      <c r="R98" s="32" t="s">
        <v>883</v>
      </c>
      <c r="S98" s="33"/>
      <c r="T98" s="33"/>
      <c r="U98" s="33">
        <v>605409091</v>
      </c>
      <c r="V98" s="33"/>
      <c r="W98" s="34"/>
      <c r="X98" s="35"/>
      <c r="Y98" s="34"/>
      <c r="Z98" s="35"/>
      <c r="AA98" s="36">
        <v>12000000</v>
      </c>
      <c r="AB98" s="36">
        <f t="shared" si="17"/>
        <v>12000000</v>
      </c>
      <c r="AC98" s="37">
        <f t="shared" si="18"/>
        <v>12000000</v>
      </c>
      <c r="AD98" s="40">
        <f t="shared" si="11"/>
        <v>12000000</v>
      </c>
      <c r="AE98" s="37"/>
      <c r="AF98" s="37"/>
      <c r="AG98" s="37"/>
      <c r="AH98" s="33"/>
      <c r="AI98" s="38"/>
      <c r="AJ98" s="39"/>
      <c r="AK98" s="31" t="s">
        <v>250</v>
      </c>
      <c r="AL98" s="181">
        <f>IF(E98&gt;=DATE(2026,4,1),IF(OR($AK98="Khách hàng thông thường",$AK98="Khách hàng chuyển đổi xe xăng"),IFERROR(VLOOKUP($M98,'[1]CSBH THƯỞNG XE'!$U$3:$YY$800,3,0),0),IF($AK98="Khách hàng Khối Quân đội - Công An",IFERROR(VLOOKUP($M98,'[1]CSBH THƯỞNG XE'!$U$3:$X$600,4,0),0),IF($AK98="Khách hàng Giờ trái đất",IFERROR(VLOOKUP($M98,'[1]CSBH THƯỞNG XE'!$U$3:$Y$700,5,0),0),0))),0)</f>
        <v>20000000</v>
      </c>
      <c r="AM98" s="181"/>
      <c r="AN98" s="181"/>
      <c r="AO98" s="182">
        <f t="shared" si="22"/>
        <v>4800000</v>
      </c>
      <c r="AP98" s="182">
        <f t="shared" si="27"/>
        <v>4800000</v>
      </c>
      <c r="AQ98" s="183">
        <f t="shared" si="28"/>
        <v>4800000</v>
      </c>
      <c r="AR98" s="46">
        <f t="shared" si="23"/>
        <v>0</v>
      </c>
      <c r="AS98" s="46">
        <f t="shared" si="24"/>
        <v>0</v>
      </c>
      <c r="AT98" s="46">
        <v>0</v>
      </c>
      <c r="AU98" s="46">
        <v>0</v>
      </c>
      <c r="AV98" s="47"/>
      <c r="AW98" s="279"/>
      <c r="AX98" s="279"/>
      <c r="AZ98" s="280"/>
      <c r="BA98" s="281" t="s">
        <v>1983</v>
      </c>
      <c r="BB98" s="282">
        <f>VLOOKUP(H98,[1]NVKD!$C$1:$M$3296,11,0)</f>
        <v>6</v>
      </c>
      <c r="BC98" s="281" t="s">
        <v>1982</v>
      </c>
      <c r="BD98" s="283" t="str">
        <f t="shared" si="25"/>
        <v>Showroom Bến Lức</v>
      </c>
      <c r="BF98" s="284">
        <f t="shared" si="26"/>
        <v>0</v>
      </c>
      <c r="BG98" s="284">
        <f>IFERROR(IF(Y98=0,0, IF(Y98 / VLOOKUP(M98,'[1]CSBH THƯỞNG XE'!$U$3:$AA$1100,7,FALSE) &lt; 0.5,0,MIN((Y98 / VLOOKUP(M98,'[1]CSBH THƯỞNG XE'!$U$3:$AA$1100,7,FALSE)) * 20%,20%))),0)</f>
        <v>0</v>
      </c>
      <c r="BI98" s="263"/>
    </row>
    <row r="99" spans="1:61" ht="20.149999999999999" customHeight="1">
      <c r="A99" s="178">
        <v>46111</v>
      </c>
      <c r="B99" s="179">
        <f t="shared" si="19"/>
        <v>30</v>
      </c>
      <c r="C99" s="179">
        <f t="shared" si="20"/>
        <v>3</v>
      </c>
      <c r="D99" s="179">
        <f t="shared" si="21"/>
        <v>2026</v>
      </c>
      <c r="E99" s="178">
        <v>46139</v>
      </c>
      <c r="F99" s="26" t="s">
        <v>1143</v>
      </c>
      <c r="G99" s="27" t="s">
        <v>254</v>
      </c>
      <c r="H99" s="28" t="s">
        <v>21</v>
      </c>
      <c r="I99" s="28">
        <v>0</v>
      </c>
      <c r="J99" s="28" t="s">
        <v>1144</v>
      </c>
      <c r="K99" s="29"/>
      <c r="L99" s="29"/>
      <c r="M99" s="30" t="s">
        <v>56</v>
      </c>
      <c r="N99" s="30" t="s">
        <v>255</v>
      </c>
      <c r="O99" s="31" t="s">
        <v>105</v>
      </c>
      <c r="P99" s="32"/>
      <c r="Q99" s="180">
        <v>1</v>
      </c>
      <c r="R99" s="32" t="s">
        <v>720</v>
      </c>
      <c r="S99" s="33"/>
      <c r="T99" s="33"/>
      <c r="U99" s="33">
        <v>269181818</v>
      </c>
      <c r="V99" s="33"/>
      <c r="W99" s="34"/>
      <c r="X99" s="35"/>
      <c r="Y99" s="34"/>
      <c r="Z99" s="35"/>
      <c r="AA99" s="36">
        <v>0</v>
      </c>
      <c r="AB99" s="36">
        <f t="shared" si="17"/>
        <v>0</v>
      </c>
      <c r="AC99" s="37">
        <f t="shared" si="18"/>
        <v>0</v>
      </c>
      <c r="AD99" s="40">
        <f t="shared" si="11"/>
        <v>0</v>
      </c>
      <c r="AE99" s="37"/>
      <c r="AF99" s="37"/>
      <c r="AG99" s="37"/>
      <c r="AH99" s="33"/>
      <c r="AI99" s="38"/>
      <c r="AJ99" s="39"/>
      <c r="AK99" s="31" t="s">
        <v>250</v>
      </c>
      <c r="AL99" s="181">
        <f>IF(E99&gt;=DATE(2026,4,1),IF(OR($AK99="Khách hàng thông thường",$AK99="Khách hàng chuyển đổi xe xăng"),IFERROR(VLOOKUP($M99,'[1]CSBH THƯỞNG XE'!$U$3:$YY$800,3,0),0),IF($AK99="Khách hàng Khối Quân đội - Công An",IFERROR(VLOOKUP($M99,'[1]CSBH THƯỞNG XE'!$U$3:$X$600,4,0),0),IF($AK99="Khách hàng Giờ trái đất",IFERROR(VLOOKUP($M99,'[1]CSBH THƯỞNG XE'!$U$3:$Y$700,5,0),0),0))),0)</f>
        <v>8500000</v>
      </c>
      <c r="AM99" s="181"/>
      <c r="AN99" s="181"/>
      <c r="AO99" s="182">
        <f t="shared" si="22"/>
        <v>6800000</v>
      </c>
      <c r="AP99" s="182">
        <f t="shared" si="27"/>
        <v>6800000</v>
      </c>
      <c r="AQ99" s="183">
        <f t="shared" si="28"/>
        <v>6800000</v>
      </c>
      <c r="AR99" s="46">
        <f t="shared" si="23"/>
        <v>0</v>
      </c>
      <c r="AS99" s="46">
        <f t="shared" si="24"/>
        <v>0</v>
      </c>
      <c r="AT99" s="46">
        <v>0</v>
      </c>
      <c r="AU99" s="46">
        <v>0</v>
      </c>
      <c r="AV99" s="47"/>
      <c r="AW99" s="279"/>
      <c r="AX99" s="279"/>
      <c r="AZ99" s="280"/>
      <c r="BA99" s="281">
        <v>0</v>
      </c>
      <c r="BB99" s="282">
        <f>VLOOKUP(H99,[1]NVKD!$C$1:$M$3296,11,0)</f>
        <v>3</v>
      </c>
      <c r="BC99" s="281" t="s">
        <v>1984</v>
      </c>
      <c r="BD99" s="283" t="str">
        <f t="shared" si="25"/>
        <v>Showroom Sala</v>
      </c>
      <c r="BF99" s="284">
        <f t="shared" si="26"/>
        <v>0.2</v>
      </c>
      <c r="BG99" s="284">
        <f>IFERROR(IF(Y99=0,0, IF(Y99 / VLOOKUP(M99,'[1]CSBH THƯỞNG XE'!$U$3:$AA$1100,7,FALSE) &lt; 0.5,0,MIN((Y99 / VLOOKUP(M99,'[1]CSBH THƯỞNG XE'!$U$3:$AA$1100,7,FALSE)) * 20%,20%))),0)</f>
        <v>0</v>
      </c>
      <c r="BI99" s="263"/>
    </row>
    <row r="100" spans="1:61" ht="20.149999999999999" customHeight="1">
      <c r="A100" s="178">
        <v>46108</v>
      </c>
      <c r="B100" s="179">
        <f t="shared" si="19"/>
        <v>27</v>
      </c>
      <c r="C100" s="179">
        <f t="shared" si="20"/>
        <v>3</v>
      </c>
      <c r="D100" s="179">
        <f t="shared" si="21"/>
        <v>2026</v>
      </c>
      <c r="E100" s="178">
        <v>46139</v>
      </c>
      <c r="F100" s="26" t="s">
        <v>1145</v>
      </c>
      <c r="G100" s="27" t="s">
        <v>246</v>
      </c>
      <c r="H100" s="28" t="s">
        <v>132</v>
      </c>
      <c r="I100" s="28" t="s">
        <v>247</v>
      </c>
      <c r="J100" s="28" t="s">
        <v>887</v>
      </c>
      <c r="K100" s="29"/>
      <c r="L100" s="29"/>
      <c r="M100" s="30" t="s">
        <v>51</v>
      </c>
      <c r="N100" s="30" t="s">
        <v>255</v>
      </c>
      <c r="O100" s="31" t="s">
        <v>668</v>
      </c>
      <c r="P100" s="32"/>
      <c r="Q100" s="180">
        <v>1</v>
      </c>
      <c r="R100" s="32" t="s">
        <v>889</v>
      </c>
      <c r="S100" s="33"/>
      <c r="T100" s="33"/>
      <c r="U100" s="33">
        <v>767718182</v>
      </c>
      <c r="V100" s="33"/>
      <c r="W100" s="34"/>
      <c r="X100" s="35"/>
      <c r="Y100" s="34"/>
      <c r="Z100" s="35"/>
      <c r="AA100" s="36">
        <v>10000000</v>
      </c>
      <c r="AB100" s="36">
        <f t="shared" si="17"/>
        <v>10000000</v>
      </c>
      <c r="AC100" s="37">
        <f t="shared" si="18"/>
        <v>10000000</v>
      </c>
      <c r="AD100" s="40">
        <f t="shared" si="11"/>
        <v>10000000</v>
      </c>
      <c r="AE100" s="37"/>
      <c r="AF100" s="37"/>
      <c r="AG100" s="37"/>
      <c r="AH100" s="33"/>
      <c r="AI100" s="38"/>
      <c r="AJ100" s="39"/>
      <c r="AK100" s="31" t="s">
        <v>250</v>
      </c>
      <c r="AL100" s="181">
        <f>IF(E100&gt;=DATE(2026,4,1),IF(OR($AK100="Khách hàng thông thường",$AK100="Khách hàng chuyển đổi xe xăng"),IFERROR(VLOOKUP($M100,'[1]CSBH THƯỞNG XE'!$U$3:$YY$800,3,0),0),IF($AK100="Khách hàng Khối Quân đội - Công An",IFERROR(VLOOKUP($M100,'[1]CSBH THƯỞNG XE'!$U$3:$X$600,4,0),0),IF($AK100="Khách hàng Giờ trái đất",IFERROR(VLOOKUP($M100,'[1]CSBH THƯỞNG XE'!$U$3:$Y$700,5,0),0),0))),0)</f>
        <v>28000000</v>
      </c>
      <c r="AM100" s="181"/>
      <c r="AN100" s="181"/>
      <c r="AO100" s="182">
        <f t="shared" si="22"/>
        <v>10800000</v>
      </c>
      <c r="AP100" s="182">
        <f t="shared" si="27"/>
        <v>10800000</v>
      </c>
      <c r="AQ100" s="183">
        <f t="shared" si="28"/>
        <v>10800000</v>
      </c>
      <c r="AR100" s="46">
        <f t="shared" si="23"/>
        <v>0</v>
      </c>
      <c r="AS100" s="46">
        <f t="shared" si="24"/>
        <v>0</v>
      </c>
      <c r="AT100" s="46">
        <v>0</v>
      </c>
      <c r="AU100" s="46">
        <v>0</v>
      </c>
      <c r="AV100" s="47"/>
      <c r="AW100" s="279"/>
      <c r="AX100" s="279"/>
      <c r="AZ100" s="280"/>
      <c r="BA100" s="281" t="s">
        <v>1981</v>
      </c>
      <c r="BB100" s="282">
        <f>VLOOKUP(H100,[1]NVKD!$C$1:$M$3296,11,0)</f>
        <v>10</v>
      </c>
      <c r="BC100" s="281" t="s">
        <v>1982</v>
      </c>
      <c r="BD100" s="283" t="str">
        <f t="shared" si="25"/>
        <v>Showroom Bến Lức</v>
      </c>
      <c r="BF100" s="284">
        <f t="shared" si="26"/>
        <v>0</v>
      </c>
      <c r="BG100" s="284">
        <f>IFERROR(IF(Y100=0,0, IF(Y100 / VLOOKUP(M100,'[1]CSBH THƯỞNG XE'!$U$3:$AA$1100,7,FALSE) &lt; 0.5,0,MIN((Y100 / VLOOKUP(M100,'[1]CSBH THƯỞNG XE'!$U$3:$AA$1100,7,FALSE)) * 20%,20%))),0)</f>
        <v>0</v>
      </c>
      <c r="BI100" s="263"/>
    </row>
    <row r="101" spans="1:61" ht="20.149999999999999" customHeight="1">
      <c r="A101" s="178">
        <v>46113</v>
      </c>
      <c r="B101" s="179">
        <f t="shared" si="19"/>
        <v>1</v>
      </c>
      <c r="C101" s="179">
        <f t="shared" si="20"/>
        <v>4</v>
      </c>
      <c r="D101" s="179">
        <f t="shared" si="21"/>
        <v>2026</v>
      </c>
      <c r="E101" s="178">
        <v>46141</v>
      </c>
      <c r="F101" s="26" t="s">
        <v>1146</v>
      </c>
      <c r="G101" s="44" t="s">
        <v>263</v>
      </c>
      <c r="H101" s="41" t="s">
        <v>1147</v>
      </c>
      <c r="I101" s="41" t="s">
        <v>273</v>
      </c>
      <c r="J101" s="28" t="s">
        <v>970</v>
      </c>
      <c r="K101" s="29"/>
      <c r="L101" s="29"/>
      <c r="M101" s="30" t="s">
        <v>110</v>
      </c>
      <c r="N101" s="30" t="s">
        <v>277</v>
      </c>
      <c r="O101" s="31" t="s">
        <v>140</v>
      </c>
      <c r="P101" s="32"/>
      <c r="Q101" s="180">
        <v>1</v>
      </c>
      <c r="R101" s="43" t="s">
        <v>972</v>
      </c>
      <c r="S101" s="33"/>
      <c r="T101" s="33"/>
      <c r="U101" s="33">
        <v>467272727</v>
      </c>
      <c r="V101" s="33"/>
      <c r="W101" s="34"/>
      <c r="X101" s="35"/>
      <c r="Y101" s="34"/>
      <c r="Z101" s="35"/>
      <c r="AA101" s="36">
        <v>0</v>
      </c>
      <c r="AB101" s="36">
        <f t="shared" si="17"/>
        <v>0</v>
      </c>
      <c r="AC101" s="37">
        <f t="shared" si="18"/>
        <v>0</v>
      </c>
      <c r="AD101" s="40">
        <f t="shared" si="11"/>
        <v>0</v>
      </c>
      <c r="AE101" s="37"/>
      <c r="AF101" s="37"/>
      <c r="AG101" s="37"/>
      <c r="AH101" s="33"/>
      <c r="AI101" s="38"/>
      <c r="AJ101" s="39"/>
      <c r="AK101" s="31" t="s">
        <v>250</v>
      </c>
      <c r="AL101" s="181">
        <f>IF(E101&gt;=DATE(2026,4,1),IF(OR($AK101="Khách hàng thông thường",$AK101="Khách hàng chuyển đổi xe xăng"),IFERROR(VLOOKUP($M101,'[1]CSBH THƯỞNG XE'!$U$3:$YY$800,3,0),0),IF($AK101="Khách hàng Khối Quân đội - Công An",IFERROR(VLOOKUP($M101,'[1]CSBH THƯỞNG XE'!$U$3:$X$600,4,0),0),IF($AK101="Khách hàng Giờ trái đất",IFERROR(VLOOKUP($M101,'[1]CSBH THƯỞNG XE'!$U$3:$Y$700,5,0),0),0))),0)</f>
        <v>16000000</v>
      </c>
      <c r="AM101" s="181"/>
      <c r="AN101" s="181"/>
      <c r="AO101" s="182">
        <f t="shared" si="22"/>
        <v>9600000</v>
      </c>
      <c r="AP101" s="182">
        <f t="shared" si="27"/>
        <v>9600000</v>
      </c>
      <c r="AQ101" s="183">
        <f t="shared" si="28"/>
        <v>9600000</v>
      </c>
      <c r="AR101" s="46">
        <f t="shared" si="23"/>
        <v>0</v>
      </c>
      <c r="AS101" s="46">
        <f t="shared" si="24"/>
        <v>0</v>
      </c>
      <c r="AT101" s="46">
        <v>0</v>
      </c>
      <c r="AU101" s="46">
        <v>0</v>
      </c>
      <c r="AV101" s="47"/>
      <c r="AW101" s="279"/>
      <c r="AX101" s="279"/>
      <c r="AZ101" s="280"/>
      <c r="BA101" s="281">
        <v>0</v>
      </c>
      <c r="BB101" s="282">
        <f>VLOOKUP(H101,[1]NVKD!$C$1:$M$3296,11,0)</f>
        <v>1</v>
      </c>
      <c r="BC101" s="281" t="s">
        <v>1982</v>
      </c>
      <c r="BD101" s="283" t="str">
        <f t="shared" si="25"/>
        <v>Showroom Quang Trung</v>
      </c>
      <c r="BF101" s="284">
        <f t="shared" si="26"/>
        <v>0</v>
      </c>
      <c r="BG101" s="284">
        <f>IFERROR(IF(Y101=0,0, IF(Y101 / VLOOKUP(M101,'[1]CSBH THƯỞNG XE'!$U$3:$AA$1100,7,FALSE) &lt; 0.5,0,MIN((Y101 / VLOOKUP(M101,'[1]CSBH THƯỞNG XE'!$U$3:$AA$1100,7,FALSE)) * 20%,20%))),0)</f>
        <v>0</v>
      </c>
      <c r="BI101" s="263"/>
    </row>
    <row r="102" spans="1:61" ht="20.149999999999999" customHeight="1">
      <c r="A102" s="178">
        <v>46110</v>
      </c>
      <c r="B102" s="179">
        <f t="shared" si="19"/>
        <v>29</v>
      </c>
      <c r="C102" s="179">
        <f t="shared" si="20"/>
        <v>3</v>
      </c>
      <c r="D102" s="179">
        <f t="shared" si="21"/>
        <v>2026</v>
      </c>
      <c r="E102" s="178">
        <v>46141</v>
      </c>
      <c r="F102" s="26" t="s">
        <v>1148</v>
      </c>
      <c r="G102" s="27" t="s">
        <v>263</v>
      </c>
      <c r="H102" s="28" t="s">
        <v>151</v>
      </c>
      <c r="I102" s="28" t="s">
        <v>264</v>
      </c>
      <c r="J102" s="28" t="s">
        <v>973</v>
      </c>
      <c r="K102" s="29"/>
      <c r="L102" s="29"/>
      <c r="M102" s="30" t="s">
        <v>114</v>
      </c>
      <c r="N102" s="30" t="s">
        <v>255</v>
      </c>
      <c r="O102" s="31" t="s">
        <v>148</v>
      </c>
      <c r="P102" s="32"/>
      <c r="Q102" s="180">
        <v>1</v>
      </c>
      <c r="R102" s="32" t="s">
        <v>975</v>
      </c>
      <c r="S102" s="33"/>
      <c r="T102" s="33"/>
      <c r="U102" s="33">
        <v>608718182</v>
      </c>
      <c r="V102" s="33"/>
      <c r="W102" s="34"/>
      <c r="X102" s="35"/>
      <c r="Y102" s="34"/>
      <c r="Z102" s="35"/>
      <c r="AA102" s="36">
        <v>12000000</v>
      </c>
      <c r="AB102" s="36">
        <f t="shared" si="17"/>
        <v>12000000</v>
      </c>
      <c r="AC102" s="37">
        <f t="shared" si="18"/>
        <v>12000000</v>
      </c>
      <c r="AD102" s="40">
        <f t="shared" si="11"/>
        <v>12000000</v>
      </c>
      <c r="AE102" s="37"/>
      <c r="AF102" s="37"/>
      <c r="AG102" s="37"/>
      <c r="AH102" s="33"/>
      <c r="AI102" s="38"/>
      <c r="AJ102" s="39"/>
      <c r="AK102" s="31" t="s">
        <v>250</v>
      </c>
      <c r="AL102" s="181">
        <f>IF(E102&gt;=DATE(2026,4,1),IF(OR($AK102="Khách hàng thông thường",$AK102="Khách hàng chuyển đổi xe xăng"),IFERROR(VLOOKUP($M102,'[1]CSBH THƯỞNG XE'!$U$3:$YY$800,3,0),0),IF($AK102="Khách hàng Khối Quân đội - Công An",IFERROR(VLOOKUP($M102,'[1]CSBH THƯỞNG XE'!$U$3:$X$600,4,0),0),IF($AK102="Khách hàng Giờ trái đất",IFERROR(VLOOKUP($M102,'[1]CSBH THƯỞNG XE'!$U$3:$Y$700,5,0),0),0))),0)</f>
        <v>19000000</v>
      </c>
      <c r="AM102" s="181"/>
      <c r="AN102" s="181"/>
      <c r="AO102" s="182">
        <f t="shared" si="22"/>
        <v>4200000</v>
      </c>
      <c r="AP102" s="182">
        <f t="shared" si="27"/>
        <v>4200000</v>
      </c>
      <c r="AQ102" s="183">
        <f t="shared" si="28"/>
        <v>4200000</v>
      </c>
      <c r="AR102" s="46">
        <f t="shared" si="23"/>
        <v>0</v>
      </c>
      <c r="AS102" s="46">
        <f t="shared" si="24"/>
        <v>0</v>
      </c>
      <c r="AT102" s="46">
        <v>0</v>
      </c>
      <c r="AU102" s="46">
        <v>0</v>
      </c>
      <c r="AV102" s="47"/>
      <c r="AW102" s="279"/>
      <c r="AX102" s="279"/>
      <c r="AZ102" s="280"/>
      <c r="BA102" s="281" t="s">
        <v>1983</v>
      </c>
      <c r="BB102" s="282">
        <f>VLOOKUP(H102,[1]NVKD!$C$1:$M$3296,11,0)</f>
        <v>5</v>
      </c>
      <c r="BC102" s="281" t="s">
        <v>1982</v>
      </c>
      <c r="BD102" s="283" t="str">
        <f t="shared" si="25"/>
        <v>Showroom Quang Trung</v>
      </c>
      <c r="BF102" s="284">
        <f t="shared" si="26"/>
        <v>0</v>
      </c>
      <c r="BG102" s="284">
        <f>IFERROR(IF(Y102=0,0, IF(Y102 / VLOOKUP(M102,'[1]CSBH THƯỞNG XE'!$U$3:$AA$1100,7,FALSE) &lt; 0.5,0,MIN((Y102 / VLOOKUP(M102,'[1]CSBH THƯỞNG XE'!$U$3:$AA$1100,7,FALSE)) * 20%,20%))),0)</f>
        <v>0</v>
      </c>
      <c r="BI102" s="263"/>
    </row>
    <row r="103" spans="1:61" ht="20.149999999999999" customHeight="1">
      <c r="A103" s="178">
        <v>46109</v>
      </c>
      <c r="B103" s="179">
        <f t="shared" si="19"/>
        <v>28</v>
      </c>
      <c r="C103" s="179">
        <f t="shared" si="20"/>
        <v>3</v>
      </c>
      <c r="D103" s="179">
        <f t="shared" si="21"/>
        <v>2026</v>
      </c>
      <c r="E103" s="178">
        <v>46141</v>
      </c>
      <c r="F103" s="26" t="s">
        <v>1149</v>
      </c>
      <c r="G103" s="27" t="s">
        <v>251</v>
      </c>
      <c r="H103" s="28" t="s">
        <v>118</v>
      </c>
      <c r="I103" s="28" t="s">
        <v>265</v>
      </c>
      <c r="J103" s="28" t="s">
        <v>734</v>
      </c>
      <c r="K103" s="29"/>
      <c r="L103" s="29"/>
      <c r="M103" s="30" t="s">
        <v>114</v>
      </c>
      <c r="N103" s="30" t="s">
        <v>255</v>
      </c>
      <c r="O103" s="31" t="s">
        <v>52</v>
      </c>
      <c r="P103" s="32"/>
      <c r="Q103" s="180">
        <v>1</v>
      </c>
      <c r="R103" s="32" t="s">
        <v>738</v>
      </c>
      <c r="S103" s="33"/>
      <c r="T103" s="33"/>
      <c r="U103" s="33">
        <v>640054545</v>
      </c>
      <c r="V103" s="33"/>
      <c r="W103" s="34"/>
      <c r="X103" s="35"/>
      <c r="Y103" s="34"/>
      <c r="Z103" s="35"/>
      <c r="AA103" s="36">
        <v>0</v>
      </c>
      <c r="AB103" s="36">
        <f t="shared" si="17"/>
        <v>0</v>
      </c>
      <c r="AC103" s="37">
        <f t="shared" si="18"/>
        <v>0</v>
      </c>
      <c r="AD103" s="40">
        <f t="shared" si="11"/>
        <v>0</v>
      </c>
      <c r="AE103" s="37"/>
      <c r="AF103" s="37"/>
      <c r="AG103" s="37"/>
      <c r="AH103" s="33"/>
      <c r="AI103" s="38"/>
      <c r="AJ103" s="39"/>
      <c r="AK103" s="31" t="s">
        <v>250</v>
      </c>
      <c r="AL103" s="181">
        <f>IF(E103&gt;=DATE(2026,4,1),IF(OR($AK103="Khách hàng thông thường",$AK103="Khách hàng chuyển đổi xe xăng"),IFERROR(VLOOKUP($M103,'[1]CSBH THƯỞNG XE'!$U$3:$YY$800,3,0),0),IF($AK103="Khách hàng Khối Quân đội - Công An",IFERROR(VLOOKUP($M103,'[1]CSBH THƯỞNG XE'!$U$3:$X$600,4,0),0),IF($AK103="Khách hàng Giờ trái đất",IFERROR(VLOOKUP($M103,'[1]CSBH THƯỞNG XE'!$U$3:$Y$700,5,0),0),0))),0)</f>
        <v>19000000</v>
      </c>
      <c r="AM103" s="181"/>
      <c r="AN103" s="181"/>
      <c r="AO103" s="182">
        <f t="shared" si="22"/>
        <v>11400000</v>
      </c>
      <c r="AP103" s="182">
        <f t="shared" si="27"/>
        <v>11400000</v>
      </c>
      <c r="AQ103" s="183">
        <f t="shared" si="28"/>
        <v>11400000</v>
      </c>
      <c r="AR103" s="46">
        <f t="shared" si="23"/>
        <v>0</v>
      </c>
      <c r="AS103" s="46">
        <f t="shared" si="24"/>
        <v>0</v>
      </c>
      <c r="AT103" s="46">
        <v>0</v>
      </c>
      <c r="AU103" s="46">
        <v>0</v>
      </c>
      <c r="AV103" s="47"/>
      <c r="AW103" s="279"/>
      <c r="AX103" s="279"/>
      <c r="AZ103" s="280"/>
      <c r="BA103" s="281" t="s">
        <v>1983</v>
      </c>
      <c r="BB103" s="282">
        <f>VLOOKUP(H103,[1]NVKD!$C$1:$M$3296,11,0)</f>
        <v>4</v>
      </c>
      <c r="BC103" s="281" t="s">
        <v>1982</v>
      </c>
      <c r="BD103" s="283" t="str">
        <f t="shared" si="25"/>
        <v>Showroom Tân An</v>
      </c>
      <c r="BF103" s="284">
        <f t="shared" si="26"/>
        <v>0</v>
      </c>
      <c r="BG103" s="284">
        <f>IFERROR(IF(Y103=0,0, IF(Y103 / VLOOKUP(M103,'[1]CSBH THƯỞNG XE'!$U$3:$AA$1100,7,FALSE) &lt; 0.5,0,MIN((Y103 / VLOOKUP(M103,'[1]CSBH THƯỞNG XE'!$U$3:$AA$1100,7,FALSE)) * 20%,20%))),0)</f>
        <v>0</v>
      </c>
      <c r="BI103" s="263"/>
    </row>
    <row r="104" spans="1:61" ht="20.149999999999999" customHeight="1">
      <c r="A104" s="178">
        <v>46115</v>
      </c>
      <c r="B104" s="179">
        <f t="shared" si="19"/>
        <v>3</v>
      </c>
      <c r="C104" s="179">
        <f t="shared" si="20"/>
        <v>4</v>
      </c>
      <c r="D104" s="179">
        <f t="shared" si="21"/>
        <v>2026</v>
      </c>
      <c r="E104" s="178">
        <v>46141</v>
      </c>
      <c r="F104" s="26" t="s">
        <v>1150</v>
      </c>
      <c r="G104" s="27" t="s">
        <v>246</v>
      </c>
      <c r="H104" s="28" t="s">
        <v>132</v>
      </c>
      <c r="I104" s="28" t="s">
        <v>247</v>
      </c>
      <c r="J104" s="28" t="s">
        <v>911</v>
      </c>
      <c r="K104" s="29"/>
      <c r="L104" s="29"/>
      <c r="M104" s="30" t="s">
        <v>55</v>
      </c>
      <c r="N104" s="30" t="s">
        <v>255</v>
      </c>
      <c r="O104" s="31" t="s">
        <v>134</v>
      </c>
      <c r="P104" s="32"/>
      <c r="Q104" s="180">
        <v>1</v>
      </c>
      <c r="R104" s="32" t="s">
        <v>913</v>
      </c>
      <c r="S104" s="33"/>
      <c r="T104" s="33"/>
      <c r="U104" s="33">
        <v>258072727</v>
      </c>
      <c r="V104" s="33"/>
      <c r="W104" s="34"/>
      <c r="X104" s="35"/>
      <c r="Y104" s="34"/>
      <c r="Z104" s="35"/>
      <c r="AA104" s="36">
        <v>0</v>
      </c>
      <c r="AB104" s="36">
        <f t="shared" si="17"/>
        <v>0</v>
      </c>
      <c r="AC104" s="37">
        <f t="shared" si="18"/>
        <v>0</v>
      </c>
      <c r="AD104" s="40">
        <f t="shared" si="11"/>
        <v>0</v>
      </c>
      <c r="AE104" s="37"/>
      <c r="AF104" s="37"/>
      <c r="AG104" s="37"/>
      <c r="AH104" s="33"/>
      <c r="AI104" s="38"/>
      <c r="AJ104" s="39"/>
      <c r="AK104" s="31" t="s">
        <v>250</v>
      </c>
      <c r="AL104" s="181">
        <f>IF(E104&gt;=DATE(2026,4,1),IF(OR($AK104="Khách hàng thông thường",$AK104="Khách hàng chuyển đổi xe xăng"),IFERROR(VLOOKUP($M104,'[1]CSBH THƯỞNG XE'!$U$3:$YY$800,3,0),0),IF($AK104="Khách hàng Khối Quân đội - Công An",IFERROR(VLOOKUP($M104,'[1]CSBH THƯỞNG XE'!$U$3:$X$600,4,0),0),IF($AK104="Khách hàng Giờ trái đất",IFERROR(VLOOKUP($M104,'[1]CSBH THƯỞNG XE'!$U$3:$Y$700,5,0),0),0))),0)</f>
        <v>8000000</v>
      </c>
      <c r="AM104" s="181"/>
      <c r="AN104" s="181"/>
      <c r="AO104" s="182">
        <f t="shared" si="22"/>
        <v>4800000</v>
      </c>
      <c r="AP104" s="182">
        <f t="shared" si="27"/>
        <v>4800000</v>
      </c>
      <c r="AQ104" s="183">
        <f t="shared" si="28"/>
        <v>4800000</v>
      </c>
      <c r="AR104" s="46">
        <f t="shared" si="23"/>
        <v>0</v>
      </c>
      <c r="AS104" s="46">
        <f t="shared" si="24"/>
        <v>0</v>
      </c>
      <c r="AT104" s="46">
        <v>0</v>
      </c>
      <c r="AU104" s="46">
        <v>0</v>
      </c>
      <c r="AV104" s="47"/>
      <c r="AW104" s="279"/>
      <c r="AX104" s="279"/>
      <c r="AZ104" s="280"/>
      <c r="BA104" s="281" t="s">
        <v>1981</v>
      </c>
      <c r="BB104" s="282">
        <f>VLOOKUP(H104,[1]NVKD!$C$1:$M$3296,11,0)</f>
        <v>10</v>
      </c>
      <c r="BC104" s="281" t="s">
        <v>1982</v>
      </c>
      <c r="BD104" s="283" t="str">
        <f t="shared" si="25"/>
        <v>Showroom Bến Lức</v>
      </c>
      <c r="BF104" s="284">
        <f t="shared" si="26"/>
        <v>0</v>
      </c>
      <c r="BG104" s="284">
        <f>IFERROR(IF(Y104=0,0, IF(Y104 / VLOOKUP(M104,'[1]CSBH THƯỞNG XE'!$U$3:$AA$1100,7,FALSE) &lt; 0.5,0,MIN((Y104 / VLOOKUP(M104,'[1]CSBH THƯỞNG XE'!$U$3:$AA$1100,7,FALSE)) * 20%,20%))),0)</f>
        <v>0</v>
      </c>
      <c r="BI104" s="263"/>
    </row>
    <row r="105" spans="1:61" ht="20.149999999999999" customHeight="1">
      <c r="A105" s="178">
        <v>46111</v>
      </c>
      <c r="B105" s="179">
        <f t="shared" si="19"/>
        <v>30</v>
      </c>
      <c r="C105" s="179">
        <f t="shared" si="20"/>
        <v>3</v>
      </c>
      <c r="D105" s="179">
        <f t="shared" si="21"/>
        <v>2026</v>
      </c>
      <c r="E105" s="178">
        <v>46140</v>
      </c>
      <c r="F105" s="26" t="s">
        <v>1151</v>
      </c>
      <c r="G105" s="27" t="s">
        <v>246</v>
      </c>
      <c r="H105" s="28" t="s">
        <v>132</v>
      </c>
      <c r="I105" s="28" t="s">
        <v>247</v>
      </c>
      <c r="J105" s="28" t="s">
        <v>20</v>
      </c>
      <c r="K105" s="29"/>
      <c r="L105" s="29"/>
      <c r="M105" s="30" t="s">
        <v>125</v>
      </c>
      <c r="N105" s="30" t="s">
        <v>255</v>
      </c>
      <c r="O105" s="31" t="s">
        <v>174</v>
      </c>
      <c r="P105" s="32"/>
      <c r="Q105" s="180">
        <v>1</v>
      </c>
      <c r="R105" s="32" t="s">
        <v>910</v>
      </c>
      <c r="S105" s="33"/>
      <c r="T105" s="33"/>
      <c r="U105" s="33">
        <v>258818182</v>
      </c>
      <c r="V105" s="33"/>
      <c r="W105" s="34"/>
      <c r="X105" s="35"/>
      <c r="Y105" s="34"/>
      <c r="Z105" s="35"/>
      <c r="AA105" s="36">
        <v>2000000</v>
      </c>
      <c r="AB105" s="36">
        <f t="shared" ref="AB105:AB168" si="29">SUM(X105:AA105)-Y105</f>
        <v>2000000</v>
      </c>
      <c r="AC105" s="37">
        <f t="shared" ref="AC105:AC168" si="30">SUM(X105:AA105)-Y105-X105</f>
        <v>2000000</v>
      </c>
      <c r="AD105" s="40">
        <f t="shared" si="11"/>
        <v>2000000</v>
      </c>
      <c r="AE105" s="37"/>
      <c r="AF105" s="37"/>
      <c r="AG105" s="37"/>
      <c r="AH105" s="33"/>
      <c r="AI105" s="38"/>
      <c r="AJ105" s="39"/>
      <c r="AK105" s="31" t="s">
        <v>250</v>
      </c>
      <c r="AL105" s="181">
        <f>IF(E105&gt;=DATE(2026,4,1),IF(OR($AK105="Khách hàng thông thường",$AK105="Khách hàng chuyển đổi xe xăng"),IFERROR(VLOOKUP($M105,'[1]CSBH THƯỞNG XE'!$U$3:$YY$800,3,0),0),IF($AK105="Khách hàng Khối Quân đội - Công An",IFERROR(VLOOKUP($M105,'[1]CSBH THƯỞNG XE'!$U$3:$X$600,4,0),0),IF($AK105="Khách hàng Giờ trái đất",IFERROR(VLOOKUP($M105,'[1]CSBH THƯỞNG XE'!$U$3:$Y$700,5,0),0),0))),0)</f>
        <v>7500000</v>
      </c>
      <c r="AM105" s="181"/>
      <c r="AN105" s="181"/>
      <c r="AO105" s="182">
        <f t="shared" si="22"/>
        <v>3300000</v>
      </c>
      <c r="AP105" s="182">
        <f t="shared" si="27"/>
        <v>3300000</v>
      </c>
      <c r="AQ105" s="183">
        <f t="shared" si="28"/>
        <v>3300000</v>
      </c>
      <c r="AR105" s="46">
        <f t="shared" si="23"/>
        <v>0</v>
      </c>
      <c r="AS105" s="46">
        <f t="shared" si="24"/>
        <v>0</v>
      </c>
      <c r="AT105" s="46">
        <v>0</v>
      </c>
      <c r="AU105" s="46">
        <v>0</v>
      </c>
      <c r="AV105" s="47"/>
      <c r="AW105" s="279"/>
      <c r="AX105" s="279"/>
      <c r="AZ105" s="280"/>
      <c r="BA105" s="281" t="s">
        <v>1981</v>
      </c>
      <c r="BB105" s="282">
        <f>VLOOKUP(H105,[1]NVKD!$C$1:$M$3296,11,0)</f>
        <v>10</v>
      </c>
      <c r="BC105" s="281" t="s">
        <v>1982</v>
      </c>
      <c r="BD105" s="283" t="str">
        <f t="shared" si="25"/>
        <v>Showroom Bến Lức</v>
      </c>
      <c r="BF105" s="284">
        <f t="shared" si="26"/>
        <v>0</v>
      </c>
      <c r="BG105" s="284">
        <f>IFERROR(IF(Y105=0,0, IF(Y105 / VLOOKUP(M105,'[1]CSBH THƯỞNG XE'!$U$3:$AA$1100,7,FALSE) &lt; 0.5,0,MIN((Y105 / VLOOKUP(M105,'[1]CSBH THƯỞNG XE'!$U$3:$AA$1100,7,FALSE)) * 20%,20%))),0)</f>
        <v>0</v>
      </c>
      <c r="BI105" s="263"/>
    </row>
    <row r="106" spans="1:61" ht="20.149999999999999" customHeight="1">
      <c r="A106" s="25">
        <v>46113</v>
      </c>
      <c r="B106" s="184">
        <f t="shared" si="19"/>
        <v>1</v>
      </c>
      <c r="C106" s="184">
        <f t="shared" si="20"/>
        <v>4</v>
      </c>
      <c r="D106" s="184">
        <f t="shared" si="21"/>
        <v>2026</v>
      </c>
      <c r="E106" s="25">
        <v>46140</v>
      </c>
      <c r="F106" s="26" t="s">
        <v>1152</v>
      </c>
      <c r="G106" s="27" t="s">
        <v>246</v>
      </c>
      <c r="H106" s="28" t="s">
        <v>899</v>
      </c>
      <c r="I106" s="28" t="s">
        <v>286</v>
      </c>
      <c r="J106" s="28" t="s">
        <v>900</v>
      </c>
      <c r="K106" s="29"/>
      <c r="L106" s="29"/>
      <c r="M106" s="30" t="s">
        <v>114</v>
      </c>
      <c r="N106" s="30" t="s">
        <v>255</v>
      </c>
      <c r="O106" s="31" t="s">
        <v>52</v>
      </c>
      <c r="P106" s="32"/>
      <c r="Q106" s="180">
        <v>1</v>
      </c>
      <c r="R106" s="32" t="s">
        <v>902</v>
      </c>
      <c r="S106" s="33"/>
      <c r="T106" s="33"/>
      <c r="U106" s="33">
        <v>619627273</v>
      </c>
      <c r="V106" s="33"/>
      <c r="W106" s="34"/>
      <c r="X106" s="35"/>
      <c r="Y106" s="34"/>
      <c r="Z106" s="35"/>
      <c r="AA106" s="36">
        <v>0</v>
      </c>
      <c r="AB106" s="36">
        <f t="shared" si="29"/>
        <v>0</v>
      </c>
      <c r="AC106" s="37">
        <f t="shared" si="30"/>
        <v>0</v>
      </c>
      <c r="AD106" s="40">
        <f t="shared" si="11"/>
        <v>0</v>
      </c>
      <c r="AE106" s="37"/>
      <c r="AF106" s="37"/>
      <c r="AG106" s="37"/>
      <c r="AH106" s="33"/>
      <c r="AI106" s="38"/>
      <c r="AJ106" s="39"/>
      <c r="AK106" s="31" t="s">
        <v>250</v>
      </c>
      <c r="AL106" s="181">
        <f>IF(E106&gt;=DATE(2026,4,1),IF(OR($AK106="Khách hàng thông thường",$AK106="Khách hàng chuyển đổi xe xăng"),IFERROR(VLOOKUP($M106,'[1]CSBH THƯỞNG XE'!$U$3:$YY$800,3,0),0),IF($AK106="Khách hàng Khối Quân đội - Công An",IFERROR(VLOOKUP($M106,'[1]CSBH THƯỞNG XE'!$U$3:$X$600,4,0),0),IF($AK106="Khách hàng Giờ trái đất",IFERROR(VLOOKUP($M106,'[1]CSBH THƯỞNG XE'!$U$3:$Y$700,5,0),0),0))),0)</f>
        <v>19000000</v>
      </c>
      <c r="AM106" s="181"/>
      <c r="AN106" s="181"/>
      <c r="AO106" s="182">
        <f t="shared" si="22"/>
        <v>15200000</v>
      </c>
      <c r="AP106" s="182">
        <f t="shared" si="27"/>
        <v>15200000</v>
      </c>
      <c r="AQ106" s="183">
        <f t="shared" si="28"/>
        <v>15200000</v>
      </c>
      <c r="AR106" s="46">
        <f t="shared" si="23"/>
        <v>0</v>
      </c>
      <c r="AS106" s="46">
        <f t="shared" si="24"/>
        <v>0</v>
      </c>
      <c r="AT106" s="46">
        <v>0</v>
      </c>
      <c r="AU106" s="46">
        <v>0</v>
      </c>
      <c r="AV106" s="47"/>
      <c r="AW106" s="279"/>
      <c r="AX106" s="279"/>
      <c r="AZ106" s="280"/>
      <c r="BA106" s="281" t="s">
        <v>1983</v>
      </c>
      <c r="BB106" s="282">
        <f>VLOOKUP(H106,[1]NVKD!$C$1:$M$3296,11,0)</f>
        <v>2</v>
      </c>
      <c r="BC106" s="281" t="s">
        <v>1984</v>
      </c>
      <c r="BD106" s="283" t="str">
        <f t="shared" si="25"/>
        <v>Showroom Bến Lức</v>
      </c>
      <c r="BF106" s="284">
        <f t="shared" si="26"/>
        <v>0.2</v>
      </c>
      <c r="BG106" s="284">
        <f>IFERROR(IF(Y106=0,0, IF(Y106 / VLOOKUP(M106,'[1]CSBH THƯỞNG XE'!$U$3:$AA$1100,7,FALSE) &lt; 0.5,0,MIN((Y106 / VLOOKUP(M106,'[1]CSBH THƯỞNG XE'!$U$3:$AA$1100,7,FALSE)) * 20%,20%))),0)</f>
        <v>0</v>
      </c>
      <c r="BI106" s="263"/>
    </row>
    <row r="107" spans="1:61" ht="20.149999999999999" customHeight="1">
      <c r="A107" s="25">
        <v>46103</v>
      </c>
      <c r="B107" s="184">
        <f t="shared" si="19"/>
        <v>22</v>
      </c>
      <c r="C107" s="184">
        <f t="shared" si="20"/>
        <v>3</v>
      </c>
      <c r="D107" s="184">
        <f t="shared" si="21"/>
        <v>2026</v>
      </c>
      <c r="E107" s="25">
        <v>46142</v>
      </c>
      <c r="F107" s="26" t="s">
        <v>1153</v>
      </c>
      <c r="G107" s="27" t="s">
        <v>258</v>
      </c>
      <c r="H107" s="28" t="s">
        <v>184</v>
      </c>
      <c r="I107" s="28" t="s">
        <v>259</v>
      </c>
      <c r="J107" s="28" t="s">
        <v>1154</v>
      </c>
      <c r="K107" s="29"/>
      <c r="L107" s="29"/>
      <c r="M107" s="30" t="s">
        <v>257</v>
      </c>
      <c r="N107" s="30" t="s">
        <v>268</v>
      </c>
      <c r="O107" s="31" t="s">
        <v>53</v>
      </c>
      <c r="P107" s="32"/>
      <c r="Q107" s="180">
        <v>1</v>
      </c>
      <c r="R107" s="32" t="s">
        <v>965</v>
      </c>
      <c r="S107" s="33"/>
      <c r="T107" s="33"/>
      <c r="U107" s="33">
        <v>677536364</v>
      </c>
      <c r="V107" s="33"/>
      <c r="W107" s="34"/>
      <c r="X107" s="35"/>
      <c r="Y107" s="34"/>
      <c r="Z107" s="35"/>
      <c r="AA107" s="36">
        <v>0</v>
      </c>
      <c r="AB107" s="36">
        <f t="shared" si="29"/>
        <v>0</v>
      </c>
      <c r="AC107" s="37">
        <f t="shared" si="30"/>
        <v>0</v>
      </c>
      <c r="AD107" s="40">
        <f t="shared" si="11"/>
        <v>0</v>
      </c>
      <c r="AE107" s="37"/>
      <c r="AF107" s="37"/>
      <c r="AG107" s="37"/>
      <c r="AH107" s="33"/>
      <c r="AI107" s="38"/>
      <c r="AJ107" s="39"/>
      <c r="AK107" s="31" t="s">
        <v>250</v>
      </c>
      <c r="AL107" s="181">
        <f>IF(E107&gt;=DATE(2026,4,1),IF(OR($AK107="Khách hàng thông thường",$AK107="Khách hàng chuyển đổi xe xăng"),IFERROR(VLOOKUP($M107,'[1]CSBH THƯỞNG XE'!$U$3:$YY$800,3,0),0),IF($AK107="Khách hàng Khối Quân đội - Công An",IFERROR(VLOOKUP($M107,'[1]CSBH THƯỞNG XE'!$U$3:$X$600,4,0),0),IF($AK107="Khách hàng Giờ trái đất",IFERROR(VLOOKUP($M107,'[1]CSBH THƯỞNG XE'!$U$3:$Y$700,5,0),0),0))),0)</f>
        <v>20000000</v>
      </c>
      <c r="AM107" s="181"/>
      <c r="AN107" s="181"/>
      <c r="AO107" s="182">
        <f t="shared" si="22"/>
        <v>16000000</v>
      </c>
      <c r="AP107" s="182">
        <f t="shared" si="27"/>
        <v>16000000</v>
      </c>
      <c r="AQ107" s="183">
        <f t="shared" si="28"/>
        <v>16000000</v>
      </c>
      <c r="AR107" s="46">
        <f t="shared" si="23"/>
        <v>0</v>
      </c>
      <c r="AS107" s="46">
        <f t="shared" si="24"/>
        <v>0</v>
      </c>
      <c r="AT107" s="46">
        <v>0</v>
      </c>
      <c r="AU107" s="46">
        <v>0</v>
      </c>
      <c r="AV107" s="47"/>
      <c r="AW107" s="279"/>
      <c r="AX107" s="279"/>
      <c r="AZ107" s="280"/>
      <c r="BA107" s="281" t="s">
        <v>1981</v>
      </c>
      <c r="BB107" s="282">
        <f>VLOOKUP(H107,[1]NVKD!$C$1:$M$3296,11,0)</f>
        <v>3</v>
      </c>
      <c r="BC107" s="281" t="s">
        <v>1984</v>
      </c>
      <c r="BD107" s="283" t="str">
        <f t="shared" si="25"/>
        <v>Showroom 50 Nguyễn Văn Tăng</v>
      </c>
      <c r="BF107" s="284">
        <f t="shared" si="26"/>
        <v>0.2</v>
      </c>
      <c r="BG107" s="284">
        <f>IFERROR(IF(Y107=0,0, IF(Y107 / VLOOKUP(M107,'[1]CSBH THƯỞNG XE'!$U$3:$AA$1100,7,FALSE) &lt; 0.5,0,MIN((Y107 / VLOOKUP(M107,'[1]CSBH THƯỞNG XE'!$U$3:$AA$1100,7,FALSE)) * 20%,20%))),0)</f>
        <v>0</v>
      </c>
      <c r="BI107" s="263"/>
    </row>
    <row r="108" spans="1:61" ht="20.149999999999999" customHeight="1">
      <c r="A108" s="25">
        <v>46111</v>
      </c>
      <c r="B108" s="184">
        <f t="shared" si="19"/>
        <v>30</v>
      </c>
      <c r="C108" s="184">
        <f t="shared" si="20"/>
        <v>3</v>
      </c>
      <c r="D108" s="184">
        <f t="shared" si="21"/>
        <v>2026</v>
      </c>
      <c r="E108" s="25">
        <v>46142</v>
      </c>
      <c r="F108" s="26" t="s">
        <v>1155</v>
      </c>
      <c r="G108" s="27" t="s">
        <v>263</v>
      </c>
      <c r="H108" s="28" t="s">
        <v>992</v>
      </c>
      <c r="I108" s="28" t="s">
        <v>273</v>
      </c>
      <c r="J108" s="28" t="s">
        <v>993</v>
      </c>
      <c r="K108" s="29"/>
      <c r="L108" s="29"/>
      <c r="M108" s="30" t="s">
        <v>257</v>
      </c>
      <c r="N108" s="30" t="s">
        <v>255</v>
      </c>
      <c r="O108" s="31" t="s">
        <v>168</v>
      </c>
      <c r="P108" s="32"/>
      <c r="Q108" s="180">
        <v>1</v>
      </c>
      <c r="R108" s="32" t="s">
        <v>995</v>
      </c>
      <c r="S108" s="33"/>
      <c r="T108" s="33"/>
      <c r="U108" s="33">
        <v>686236364</v>
      </c>
      <c r="V108" s="33"/>
      <c r="W108" s="34"/>
      <c r="X108" s="35"/>
      <c r="Y108" s="34"/>
      <c r="Z108" s="35"/>
      <c r="AA108" s="36">
        <v>15000000</v>
      </c>
      <c r="AB108" s="36">
        <f t="shared" si="29"/>
        <v>15000000</v>
      </c>
      <c r="AC108" s="37">
        <f t="shared" si="30"/>
        <v>15000000</v>
      </c>
      <c r="AD108" s="40">
        <f t="shared" si="11"/>
        <v>15000000</v>
      </c>
      <c r="AE108" s="37"/>
      <c r="AF108" s="37"/>
      <c r="AG108" s="37"/>
      <c r="AH108" s="33"/>
      <c r="AI108" s="38"/>
      <c r="AJ108" s="39"/>
      <c r="AK108" s="31" t="s">
        <v>250</v>
      </c>
      <c r="AL108" s="181">
        <f>IF(E108&gt;=DATE(2026,4,1),IF(OR($AK108="Khách hàng thông thường",$AK108="Khách hàng chuyển đổi xe xăng"),IFERROR(VLOOKUP($M108,'[1]CSBH THƯỞNG XE'!$U$3:$YY$800,3,0),0),IF($AK108="Khách hàng Khối Quân đội - Công An",IFERROR(VLOOKUP($M108,'[1]CSBH THƯỞNG XE'!$U$3:$X$600,4,0),0),IF($AK108="Khách hàng Giờ trái đất",IFERROR(VLOOKUP($M108,'[1]CSBH THƯỞNG XE'!$U$3:$Y$700,5,0),0),0))),0)</f>
        <v>20000000</v>
      </c>
      <c r="AM108" s="181"/>
      <c r="AN108" s="181"/>
      <c r="AO108" s="182">
        <f t="shared" si="22"/>
        <v>3000000</v>
      </c>
      <c r="AP108" s="182">
        <f t="shared" si="27"/>
        <v>3000000</v>
      </c>
      <c r="AQ108" s="183">
        <f t="shared" si="28"/>
        <v>3000000</v>
      </c>
      <c r="AR108" s="46">
        <f t="shared" si="23"/>
        <v>0</v>
      </c>
      <c r="AS108" s="46">
        <f t="shared" si="24"/>
        <v>0</v>
      </c>
      <c r="AT108" s="46">
        <v>0</v>
      </c>
      <c r="AU108" s="46">
        <v>0</v>
      </c>
      <c r="AV108" s="47"/>
      <c r="AW108" s="279"/>
      <c r="AX108" s="279"/>
      <c r="AZ108" s="280"/>
      <c r="BA108" s="281" t="s">
        <v>1981</v>
      </c>
      <c r="BB108" s="282">
        <f>VLOOKUP(H108,[1]NVKD!$C$1:$M$3296,11,0)</f>
        <v>2</v>
      </c>
      <c r="BC108" s="281" t="s">
        <v>1982</v>
      </c>
      <c r="BD108" s="283" t="str">
        <f t="shared" si="25"/>
        <v>Showroom Quang Trung</v>
      </c>
      <c r="BF108" s="284">
        <f t="shared" si="26"/>
        <v>0</v>
      </c>
      <c r="BG108" s="284">
        <f>IFERROR(IF(Y108=0,0, IF(Y108 / VLOOKUP(M108,'[1]CSBH THƯỞNG XE'!$U$3:$AA$1100,7,FALSE) &lt; 0.5,0,MIN((Y108 / VLOOKUP(M108,'[1]CSBH THƯỞNG XE'!$U$3:$AA$1100,7,FALSE)) * 20%,20%))),0)</f>
        <v>0</v>
      </c>
      <c r="BI108" s="263"/>
    </row>
    <row r="109" spans="1:61" ht="20.149999999999999" customHeight="1">
      <c r="A109" s="25">
        <v>46103</v>
      </c>
      <c r="B109" s="184">
        <f t="shared" si="19"/>
        <v>22</v>
      </c>
      <c r="C109" s="184">
        <f t="shared" si="20"/>
        <v>3</v>
      </c>
      <c r="D109" s="184">
        <f t="shared" si="21"/>
        <v>2026</v>
      </c>
      <c r="E109" s="25">
        <v>46141</v>
      </c>
      <c r="F109" s="26" t="s">
        <v>1156</v>
      </c>
      <c r="G109" s="27" t="s">
        <v>258</v>
      </c>
      <c r="H109" s="28" t="s">
        <v>144</v>
      </c>
      <c r="I109" s="28" t="s">
        <v>261</v>
      </c>
      <c r="J109" s="28" t="s">
        <v>1157</v>
      </c>
      <c r="K109" s="29"/>
      <c r="L109" s="29"/>
      <c r="M109" s="30" t="s">
        <v>276</v>
      </c>
      <c r="N109" s="30" t="s">
        <v>260</v>
      </c>
      <c r="O109" s="31" t="s">
        <v>197</v>
      </c>
      <c r="P109" s="32"/>
      <c r="Q109" s="180">
        <v>1</v>
      </c>
      <c r="R109" s="32" t="s">
        <v>953</v>
      </c>
      <c r="S109" s="33"/>
      <c r="T109" s="33"/>
      <c r="U109" s="33">
        <v>647863636</v>
      </c>
      <c r="V109" s="33"/>
      <c r="W109" s="34"/>
      <c r="X109" s="35"/>
      <c r="Y109" s="34"/>
      <c r="Z109" s="35"/>
      <c r="AA109" s="36">
        <v>10000000</v>
      </c>
      <c r="AB109" s="36">
        <f t="shared" si="29"/>
        <v>10000000</v>
      </c>
      <c r="AC109" s="37">
        <f t="shared" si="30"/>
        <v>10000000</v>
      </c>
      <c r="AD109" s="40">
        <f t="shared" si="11"/>
        <v>10000000</v>
      </c>
      <c r="AE109" s="37"/>
      <c r="AF109" s="37"/>
      <c r="AG109" s="37"/>
      <c r="AH109" s="33"/>
      <c r="AI109" s="38"/>
      <c r="AJ109" s="39"/>
      <c r="AK109" s="31" t="s">
        <v>250</v>
      </c>
      <c r="AL109" s="181">
        <f>IF(E109&gt;=DATE(2026,4,1),IF(OR($AK109="Khách hàng thông thường",$AK109="Khách hàng chuyển đổi xe xăng"),IFERROR(VLOOKUP($M109,'[1]CSBH THƯỞNG XE'!$U$3:$YY$800,3,0),0),IF($AK109="Khách hàng Khối Quân đội - Công An",IFERROR(VLOOKUP($M109,'[1]CSBH THƯỞNG XE'!$U$3:$X$600,4,0),0),IF($AK109="Khách hàng Giờ trái đất",IFERROR(VLOOKUP($M109,'[1]CSBH THƯỞNG XE'!$U$3:$Y$700,5,0),0),0))),0)</f>
        <v>20000000</v>
      </c>
      <c r="AM109" s="181"/>
      <c r="AN109" s="181"/>
      <c r="AO109" s="182">
        <f t="shared" si="22"/>
        <v>6000000</v>
      </c>
      <c r="AP109" s="182">
        <f t="shared" si="27"/>
        <v>6000000</v>
      </c>
      <c r="AQ109" s="183">
        <f t="shared" si="28"/>
        <v>6000000</v>
      </c>
      <c r="AR109" s="46">
        <f t="shared" si="23"/>
        <v>0</v>
      </c>
      <c r="AS109" s="46">
        <f t="shared" si="24"/>
        <v>0</v>
      </c>
      <c r="AT109" s="46">
        <v>0</v>
      </c>
      <c r="AU109" s="46">
        <v>0</v>
      </c>
      <c r="AV109" s="47"/>
      <c r="AW109" s="279"/>
      <c r="AX109" s="279"/>
      <c r="AZ109" s="280"/>
      <c r="BA109" s="281" t="s">
        <v>1981</v>
      </c>
      <c r="BB109" s="282">
        <f>VLOOKUP(H109,[1]NVKD!$C$1:$M$3296,11,0)</f>
        <v>4</v>
      </c>
      <c r="BC109" s="281" t="s">
        <v>1982</v>
      </c>
      <c r="BD109" s="283" t="str">
        <f t="shared" si="25"/>
        <v>Showroom 50 Nguyễn Văn Tăng</v>
      </c>
      <c r="BF109" s="284">
        <f t="shared" si="26"/>
        <v>0</v>
      </c>
      <c r="BG109" s="284">
        <f>IFERROR(IF(Y109=0,0, IF(Y109 / VLOOKUP(M109,'[1]CSBH THƯỞNG XE'!$U$3:$AA$1100,7,FALSE) &lt; 0.5,0,MIN((Y109 / VLOOKUP(M109,'[1]CSBH THƯỞNG XE'!$U$3:$AA$1100,7,FALSE)) * 20%,20%))),0)</f>
        <v>0</v>
      </c>
      <c r="BI109" s="263"/>
    </row>
    <row r="110" spans="1:61" ht="20.149999999999999" customHeight="1">
      <c r="A110" s="25">
        <v>46111</v>
      </c>
      <c r="B110" s="184">
        <f t="shared" si="19"/>
        <v>30</v>
      </c>
      <c r="C110" s="184">
        <f t="shared" si="20"/>
        <v>3</v>
      </c>
      <c r="D110" s="184">
        <f t="shared" si="21"/>
        <v>2026</v>
      </c>
      <c r="E110" s="25">
        <v>46141</v>
      </c>
      <c r="F110" s="26" t="s">
        <v>1158</v>
      </c>
      <c r="G110" s="27" t="s">
        <v>246</v>
      </c>
      <c r="H110" s="28" t="s">
        <v>113</v>
      </c>
      <c r="I110" s="28" t="s">
        <v>247</v>
      </c>
      <c r="J110" s="28" t="s">
        <v>917</v>
      </c>
      <c r="K110" s="29"/>
      <c r="L110" s="29"/>
      <c r="M110" s="30" t="s">
        <v>276</v>
      </c>
      <c r="N110" s="30" t="s">
        <v>274</v>
      </c>
      <c r="O110" s="31" t="s">
        <v>105</v>
      </c>
      <c r="P110" s="32"/>
      <c r="Q110" s="180">
        <v>1</v>
      </c>
      <c r="R110" s="32" t="s">
        <v>919</v>
      </c>
      <c r="S110" s="33"/>
      <c r="T110" s="33"/>
      <c r="U110" s="33">
        <v>605409091</v>
      </c>
      <c r="V110" s="33"/>
      <c r="W110" s="34"/>
      <c r="X110" s="35"/>
      <c r="Y110" s="34"/>
      <c r="Z110" s="35"/>
      <c r="AA110" s="36">
        <v>12000000</v>
      </c>
      <c r="AB110" s="36">
        <f t="shared" si="29"/>
        <v>12000000</v>
      </c>
      <c r="AC110" s="37">
        <f t="shared" si="30"/>
        <v>12000000</v>
      </c>
      <c r="AD110" s="40">
        <f t="shared" si="11"/>
        <v>12000000</v>
      </c>
      <c r="AE110" s="37"/>
      <c r="AF110" s="37"/>
      <c r="AG110" s="37"/>
      <c r="AH110" s="33"/>
      <c r="AI110" s="38"/>
      <c r="AJ110" s="39"/>
      <c r="AK110" s="31" t="s">
        <v>250</v>
      </c>
      <c r="AL110" s="181">
        <f>IF(E110&gt;=DATE(2026,4,1),IF(OR($AK110="Khách hàng thông thường",$AK110="Khách hàng chuyển đổi xe xăng"),IFERROR(VLOOKUP($M110,'[1]CSBH THƯỞNG XE'!$U$3:$YY$800,3,0),0),IF($AK110="Khách hàng Khối Quân đội - Công An",IFERROR(VLOOKUP($M110,'[1]CSBH THƯỞNG XE'!$U$3:$X$600,4,0),0),IF($AK110="Khách hàng Giờ trái đất",IFERROR(VLOOKUP($M110,'[1]CSBH THƯỞNG XE'!$U$3:$Y$700,5,0),0),0))),0)</f>
        <v>20000000</v>
      </c>
      <c r="AM110" s="181"/>
      <c r="AN110" s="181"/>
      <c r="AO110" s="182">
        <f t="shared" si="22"/>
        <v>4800000</v>
      </c>
      <c r="AP110" s="182">
        <f t="shared" si="27"/>
        <v>4800000</v>
      </c>
      <c r="AQ110" s="183">
        <f t="shared" si="28"/>
        <v>4800000</v>
      </c>
      <c r="AR110" s="46">
        <f t="shared" si="23"/>
        <v>0</v>
      </c>
      <c r="AS110" s="46">
        <f t="shared" si="24"/>
        <v>0</v>
      </c>
      <c r="AT110" s="46">
        <v>0</v>
      </c>
      <c r="AU110" s="46">
        <v>0</v>
      </c>
      <c r="AV110" s="47"/>
      <c r="AW110" s="279"/>
      <c r="AX110" s="279"/>
      <c r="AZ110" s="280"/>
      <c r="BA110" s="281" t="s">
        <v>1981</v>
      </c>
      <c r="BB110" s="282">
        <f>VLOOKUP(H110,[1]NVKD!$C$1:$M$3296,11,0)</f>
        <v>5</v>
      </c>
      <c r="BC110" s="281" t="s">
        <v>1982</v>
      </c>
      <c r="BD110" s="283" t="str">
        <f t="shared" si="25"/>
        <v>Showroom Bến Lức</v>
      </c>
      <c r="BF110" s="284">
        <f t="shared" si="26"/>
        <v>0</v>
      </c>
      <c r="BG110" s="284">
        <f>IFERROR(IF(Y110=0,0, IF(Y110 / VLOOKUP(M110,'[1]CSBH THƯỞNG XE'!$U$3:$AA$1100,7,FALSE) &lt; 0.5,0,MIN((Y110 / VLOOKUP(M110,'[1]CSBH THƯỞNG XE'!$U$3:$AA$1100,7,FALSE)) * 20%,20%))),0)</f>
        <v>0</v>
      </c>
      <c r="BI110" s="263"/>
    </row>
    <row r="111" spans="1:61" s="286" customFormat="1" ht="20.149999999999999" customHeight="1">
      <c r="A111" s="185">
        <v>46119</v>
      </c>
      <c r="B111" s="186">
        <f t="shared" si="19"/>
        <v>7</v>
      </c>
      <c r="C111" s="186">
        <f t="shared" si="20"/>
        <v>4</v>
      </c>
      <c r="D111" s="186">
        <f t="shared" si="21"/>
        <v>2026</v>
      </c>
      <c r="E111" s="185">
        <v>46119</v>
      </c>
      <c r="F111" s="187" t="s">
        <v>1159</v>
      </c>
      <c r="G111" s="188" t="s">
        <v>246</v>
      </c>
      <c r="H111" s="189" t="s">
        <v>137</v>
      </c>
      <c r="I111" s="189" t="s">
        <v>247</v>
      </c>
      <c r="J111" s="189" t="s">
        <v>373</v>
      </c>
      <c r="K111" s="190"/>
      <c r="L111" s="190"/>
      <c r="M111" s="191" t="s">
        <v>257</v>
      </c>
      <c r="N111" s="191" t="s">
        <v>255</v>
      </c>
      <c r="O111" s="188" t="s">
        <v>117</v>
      </c>
      <c r="P111" s="192"/>
      <c r="Q111" s="180">
        <v>1</v>
      </c>
      <c r="R111" s="192" t="s">
        <v>375</v>
      </c>
      <c r="S111" s="193"/>
      <c r="T111" s="193"/>
      <c r="U111" s="193">
        <v>699872727</v>
      </c>
      <c r="V111" s="193"/>
      <c r="W111" s="194"/>
      <c r="X111" s="194"/>
      <c r="Y111" s="194"/>
      <c r="Z111" s="194"/>
      <c r="AA111" s="194">
        <v>0</v>
      </c>
      <c r="AB111" s="194">
        <f t="shared" si="29"/>
        <v>0</v>
      </c>
      <c r="AC111" s="195">
        <f t="shared" si="30"/>
        <v>0</v>
      </c>
      <c r="AD111" s="196">
        <f t="shared" si="11"/>
        <v>0</v>
      </c>
      <c r="AE111" s="195"/>
      <c r="AF111" s="195"/>
      <c r="AG111" s="195"/>
      <c r="AH111" s="193"/>
      <c r="AI111" s="197"/>
      <c r="AJ111" s="198"/>
      <c r="AK111" s="188" t="s">
        <v>250</v>
      </c>
      <c r="AL111" s="181">
        <f>IF(E111&gt;=DATE(2026,4,1),IF(OR($AK111="Khách hàng thông thường",$AK111="Khách hàng chuyển đổi xe xăng"),IFERROR(VLOOKUP($M111,'[1]CSBH THƯỞNG XE'!$U$3:$YY$800,3,0),0),IF($AK111="Khách hàng Khối Quân đội - Công An",IFERROR(VLOOKUP($M111,'[1]CSBH THƯỞNG XE'!$U$3:$X$600,4,0),0),IF($AK111="Khách hàng Giờ trái đất",IFERROR(VLOOKUP($M111,'[1]CSBH THƯỞNG XE'!$U$3:$Y$700,5,0),0),0))),0)</f>
        <v>20000000</v>
      </c>
      <c r="AM111" s="181"/>
      <c r="AN111" s="181"/>
      <c r="AO111" s="182">
        <f t="shared" si="22"/>
        <v>16000000</v>
      </c>
      <c r="AP111" s="182">
        <f t="shared" si="27"/>
        <v>16000000</v>
      </c>
      <c r="AQ111" s="183">
        <f t="shared" si="28"/>
        <v>16000000</v>
      </c>
      <c r="AR111" s="182">
        <f t="shared" si="23"/>
        <v>0</v>
      </c>
      <c r="AS111" s="182">
        <f t="shared" si="24"/>
        <v>0</v>
      </c>
      <c r="AT111" s="182">
        <v>0</v>
      </c>
      <c r="AU111" s="182">
        <v>0</v>
      </c>
      <c r="AV111" s="199"/>
      <c r="AW111" s="285"/>
      <c r="AX111" s="285"/>
      <c r="AY111" s="266"/>
      <c r="AZ111" s="280"/>
      <c r="BA111" s="281" t="s">
        <v>1981</v>
      </c>
      <c r="BB111" s="282">
        <f>VLOOKUP(H111,[1]NVKD!$C$1:$M$3296,11,0)</f>
        <v>3</v>
      </c>
      <c r="BC111" s="281" t="s">
        <v>1984</v>
      </c>
      <c r="BD111" s="283" t="str">
        <f t="shared" si="25"/>
        <v>Showroom Bến Lức</v>
      </c>
      <c r="BF111" s="284">
        <f t="shared" si="26"/>
        <v>0.2</v>
      </c>
      <c r="BG111" s="284">
        <f>IFERROR(IF(Y111=0,0, IF(Y111 / VLOOKUP(M111,'[1]CSBH THƯỞNG XE'!$U$3:$AA$1100,7,FALSE) &lt; 0.5,0,MIN((Y111 / VLOOKUP(M111,'[1]CSBH THƯỞNG XE'!$U$3:$AA$1100,7,FALSE)) * 20%,20%))),0)</f>
        <v>0</v>
      </c>
      <c r="BI111" s="287"/>
    </row>
    <row r="112" spans="1:61" s="286" customFormat="1" ht="20.149999999999999" customHeight="1">
      <c r="A112" s="185">
        <v>46120</v>
      </c>
      <c r="B112" s="186">
        <f t="shared" si="19"/>
        <v>8</v>
      </c>
      <c r="C112" s="186">
        <f t="shared" si="20"/>
        <v>4</v>
      </c>
      <c r="D112" s="186">
        <f t="shared" si="21"/>
        <v>2026</v>
      </c>
      <c r="E112" s="185">
        <v>46120</v>
      </c>
      <c r="F112" s="187" t="s">
        <v>1160</v>
      </c>
      <c r="G112" s="188" t="s">
        <v>254</v>
      </c>
      <c r="H112" s="189" t="s">
        <v>171</v>
      </c>
      <c r="I112" s="189"/>
      <c r="J112" s="189" t="s">
        <v>349</v>
      </c>
      <c r="K112" s="190"/>
      <c r="L112" s="190"/>
      <c r="M112" s="191" t="s">
        <v>55</v>
      </c>
      <c r="N112" s="191" t="s">
        <v>288</v>
      </c>
      <c r="O112" s="188" t="s">
        <v>351</v>
      </c>
      <c r="P112" s="192"/>
      <c r="Q112" s="180">
        <v>1</v>
      </c>
      <c r="R112" s="192" t="s">
        <v>352</v>
      </c>
      <c r="S112" s="193"/>
      <c r="T112" s="193"/>
      <c r="U112" s="193">
        <v>231326364</v>
      </c>
      <c r="V112" s="193"/>
      <c r="W112" s="194"/>
      <c r="X112" s="194"/>
      <c r="Y112" s="194"/>
      <c r="Z112" s="194"/>
      <c r="AA112" s="194">
        <v>7000000</v>
      </c>
      <c r="AB112" s="194">
        <f t="shared" si="29"/>
        <v>7000000</v>
      </c>
      <c r="AC112" s="195">
        <f t="shared" si="30"/>
        <v>7000000</v>
      </c>
      <c r="AD112" s="196">
        <f t="shared" si="11"/>
        <v>7000000</v>
      </c>
      <c r="AE112" s="195"/>
      <c r="AF112" s="195"/>
      <c r="AG112" s="195"/>
      <c r="AH112" s="193"/>
      <c r="AI112" s="197"/>
      <c r="AJ112" s="198"/>
      <c r="AK112" s="188" t="s">
        <v>250</v>
      </c>
      <c r="AL112" s="181">
        <f>IF(E112&gt;=DATE(2026,4,1),IF(OR($AK112="Khách hàng thông thường",$AK112="Khách hàng chuyển đổi xe xăng"),IFERROR(VLOOKUP($M112,'[1]CSBH THƯỞNG XE'!$U$3:$YY$800,3,0),0),IF($AK112="Khách hàng Khối Quân đội - Công An",IFERROR(VLOOKUP($M112,'[1]CSBH THƯỞNG XE'!$U$3:$X$600,4,0),0),IF($AK112="Khách hàng Giờ trái đất",IFERROR(VLOOKUP($M112,'[1]CSBH THƯỞNG XE'!$U$3:$Y$700,5,0),0),0))),0)</f>
        <v>8000000</v>
      </c>
      <c r="AM112" s="181"/>
      <c r="AN112" s="181"/>
      <c r="AO112" s="182">
        <f t="shared" si="22"/>
        <v>800000</v>
      </c>
      <c r="AP112" s="182">
        <f t="shared" si="27"/>
        <v>800000</v>
      </c>
      <c r="AQ112" s="183">
        <f t="shared" si="28"/>
        <v>800000</v>
      </c>
      <c r="AR112" s="182">
        <f t="shared" si="23"/>
        <v>0</v>
      </c>
      <c r="AS112" s="182">
        <f t="shared" si="24"/>
        <v>0</v>
      </c>
      <c r="AT112" s="182">
        <v>0</v>
      </c>
      <c r="AU112" s="182">
        <v>0</v>
      </c>
      <c r="AV112" s="199"/>
      <c r="AW112" s="285"/>
      <c r="AX112" s="285"/>
      <c r="AY112" s="266"/>
      <c r="AZ112" s="280"/>
      <c r="BA112" s="281">
        <v>0</v>
      </c>
      <c r="BB112" s="282">
        <f>VLOOKUP(H112,[1]NVKD!$C$1:$M$3296,11,0)</f>
        <v>3</v>
      </c>
      <c r="BC112" s="281" t="s">
        <v>1984</v>
      </c>
      <c r="BD112" s="283" t="str">
        <f t="shared" si="25"/>
        <v>Showroom Sala</v>
      </c>
      <c r="BF112" s="284">
        <f t="shared" si="26"/>
        <v>0.2</v>
      </c>
      <c r="BG112" s="284">
        <f>IFERROR(IF(Y112=0,0, IF(Y112 / VLOOKUP(M112,'[1]CSBH THƯỞNG XE'!$U$3:$AA$1100,7,FALSE) &lt; 0.5,0,MIN((Y112 / VLOOKUP(M112,'[1]CSBH THƯỞNG XE'!$U$3:$AA$1100,7,FALSE)) * 20%,20%))),0)</f>
        <v>0</v>
      </c>
      <c r="BI112" s="287"/>
    </row>
    <row r="113" spans="1:61" s="286" customFormat="1" ht="20.149999999999999" customHeight="1">
      <c r="A113" s="185">
        <v>46119</v>
      </c>
      <c r="B113" s="186">
        <f>DAY(A113)</f>
        <v>7</v>
      </c>
      <c r="C113" s="186">
        <f>MONTH(A113)</f>
        <v>4</v>
      </c>
      <c r="D113" s="186">
        <f>YEAR(A113)</f>
        <v>2026</v>
      </c>
      <c r="E113" s="185">
        <v>46122</v>
      </c>
      <c r="F113" s="187" t="s">
        <v>1161</v>
      </c>
      <c r="G113" s="188" t="s">
        <v>258</v>
      </c>
      <c r="H113" s="189" t="s">
        <v>188</v>
      </c>
      <c r="I113" s="189" t="s">
        <v>259</v>
      </c>
      <c r="J113" s="189" t="s">
        <v>1162</v>
      </c>
      <c r="K113" s="190"/>
      <c r="L113" s="190"/>
      <c r="M113" s="191" t="s">
        <v>257</v>
      </c>
      <c r="N113" s="191" t="s">
        <v>260</v>
      </c>
      <c r="O113" s="188" t="s">
        <v>53</v>
      </c>
      <c r="P113" s="192"/>
      <c r="Q113" s="180">
        <v>1</v>
      </c>
      <c r="R113" s="192" t="s">
        <v>501</v>
      </c>
      <c r="S113" s="193"/>
      <c r="T113" s="193"/>
      <c r="U113" s="193">
        <v>677536364</v>
      </c>
      <c r="V113" s="193"/>
      <c r="W113" s="194">
        <v>8385000</v>
      </c>
      <c r="X113" s="194"/>
      <c r="Y113" s="194"/>
      <c r="Z113" s="194"/>
      <c r="AA113" s="194">
        <v>0</v>
      </c>
      <c r="AB113" s="194">
        <f t="shared" si="29"/>
        <v>0</v>
      </c>
      <c r="AC113" s="195">
        <f t="shared" si="30"/>
        <v>0</v>
      </c>
      <c r="AD113" s="196">
        <f>AC113</f>
        <v>0</v>
      </c>
      <c r="AE113" s="195"/>
      <c r="AF113" s="195"/>
      <c r="AG113" s="195"/>
      <c r="AH113" s="193"/>
      <c r="AI113" s="197"/>
      <c r="AJ113" s="198"/>
      <c r="AK113" s="188" t="s">
        <v>250</v>
      </c>
      <c r="AL113" s="181">
        <f>IF(E113&gt;=DATE(2026,4,1),IF(OR($AK113="Khách hàng thông thường",$AK113="Khách hàng chuyển đổi xe xăng"),IFERROR(VLOOKUP($M113,'[1]CSBH THƯỞNG XE'!$U$3:$YY$800,3,0),0),IF($AK113="Khách hàng Khối Quân đội - Công An",IFERROR(VLOOKUP($M113,'[1]CSBH THƯỞNG XE'!$U$3:$X$600,4,0),0),IF($AK113="Khách hàng Giờ trái đất",IFERROR(VLOOKUP($M113,'[1]CSBH THƯỞNG XE'!$U$3:$Y$700,5,0),0),0))),0)</f>
        <v>20000000</v>
      </c>
      <c r="AM113" s="181"/>
      <c r="AN113" s="181"/>
      <c r="AO113" s="182">
        <f t="shared" si="22"/>
        <v>16000000</v>
      </c>
      <c r="AP113" s="182">
        <f t="shared" si="27"/>
        <v>16000000</v>
      </c>
      <c r="AQ113" s="183">
        <f t="shared" si="28"/>
        <v>16000000</v>
      </c>
      <c r="AR113" s="182">
        <f t="shared" si="23"/>
        <v>0</v>
      </c>
      <c r="AS113" s="182">
        <f t="shared" si="24"/>
        <v>0</v>
      </c>
      <c r="AT113" s="182">
        <v>0</v>
      </c>
      <c r="AU113" s="182">
        <v>8385000</v>
      </c>
      <c r="AV113" s="199"/>
      <c r="AW113" s="285"/>
      <c r="AX113" s="285"/>
      <c r="AY113" s="266"/>
      <c r="AZ113" s="280"/>
      <c r="BA113" s="281" t="s">
        <v>1981</v>
      </c>
      <c r="BB113" s="282">
        <f>VLOOKUP(H113,[1]NVKD!$C$1:$M$3296,11,0)</f>
        <v>6</v>
      </c>
      <c r="BC113" s="281" t="s">
        <v>1982</v>
      </c>
      <c r="BD113" s="283" t="str">
        <f t="shared" si="25"/>
        <v>Showroom 50 Nguyễn Văn Tăng</v>
      </c>
      <c r="BF113" s="284">
        <f t="shared" si="26"/>
        <v>0.2</v>
      </c>
      <c r="BG113" s="284">
        <f>IFERROR(IF(Y113=0,0, IF(Y113 / VLOOKUP(M113,'[1]CSBH THƯỞNG XE'!$U$3:$AA$1100,7,FALSE) &lt; 0.5,0,MIN((Y113 / VLOOKUP(M113,'[1]CSBH THƯỞNG XE'!$U$3:$AA$1100,7,FALSE)) * 20%,20%))),0)</f>
        <v>0</v>
      </c>
      <c r="BI113" s="287"/>
    </row>
    <row r="114" spans="1:61" s="286" customFormat="1" ht="20.149999999999999" customHeight="1">
      <c r="A114" s="185">
        <v>46119</v>
      </c>
      <c r="B114" s="186">
        <f>DAY(A114)</f>
        <v>7</v>
      </c>
      <c r="C114" s="186">
        <f>MONTH(A114)</f>
        <v>4</v>
      </c>
      <c r="D114" s="186">
        <f>YEAR(A114)</f>
        <v>2026</v>
      </c>
      <c r="E114" s="185">
        <v>46122</v>
      </c>
      <c r="F114" s="187" t="s">
        <v>1163</v>
      </c>
      <c r="G114" s="188" t="s">
        <v>246</v>
      </c>
      <c r="H114" s="189" t="s">
        <v>116</v>
      </c>
      <c r="I114" s="189" t="s">
        <v>247</v>
      </c>
      <c r="J114" s="189" t="s">
        <v>409</v>
      </c>
      <c r="K114" s="190"/>
      <c r="L114" s="190"/>
      <c r="M114" s="191" t="s">
        <v>55</v>
      </c>
      <c r="N114" s="191" t="s">
        <v>275</v>
      </c>
      <c r="O114" s="188" t="s">
        <v>199</v>
      </c>
      <c r="P114" s="192"/>
      <c r="Q114" s="180">
        <v>1</v>
      </c>
      <c r="R114" s="192" t="s">
        <v>412</v>
      </c>
      <c r="S114" s="193"/>
      <c r="T114" s="193"/>
      <c r="U114" s="193">
        <v>243690909</v>
      </c>
      <c r="V114" s="193"/>
      <c r="W114" s="194"/>
      <c r="X114" s="194"/>
      <c r="Y114" s="194"/>
      <c r="Z114" s="194"/>
      <c r="AA114" s="194">
        <v>0</v>
      </c>
      <c r="AB114" s="194">
        <f t="shared" si="29"/>
        <v>0</v>
      </c>
      <c r="AC114" s="195">
        <f t="shared" si="30"/>
        <v>0</v>
      </c>
      <c r="AD114" s="196">
        <f>AC114</f>
        <v>0</v>
      </c>
      <c r="AE114" s="195"/>
      <c r="AF114" s="195"/>
      <c r="AG114" s="195"/>
      <c r="AH114" s="193"/>
      <c r="AI114" s="197"/>
      <c r="AJ114" s="198"/>
      <c r="AK114" s="188" t="s">
        <v>250</v>
      </c>
      <c r="AL114" s="181">
        <f>IF(E114&gt;=DATE(2026,4,1),IF(OR($AK114="Khách hàng thông thường",$AK114="Khách hàng chuyển đổi xe xăng"),IFERROR(VLOOKUP($M114,'[1]CSBH THƯỞNG XE'!$U$3:$YY$800,3,0),0),IF($AK114="Khách hàng Khối Quân đội - Công An",IFERROR(VLOOKUP($M114,'[1]CSBH THƯỞNG XE'!$U$3:$X$600,4,0),0),IF($AK114="Khách hàng Giờ trái đất",IFERROR(VLOOKUP($M114,'[1]CSBH THƯỞNG XE'!$U$3:$Y$700,5,0),0),0))),0)</f>
        <v>8000000</v>
      </c>
      <c r="AM114" s="181"/>
      <c r="AN114" s="181"/>
      <c r="AO114" s="182">
        <f t="shared" si="22"/>
        <v>4800000</v>
      </c>
      <c r="AP114" s="182">
        <f t="shared" si="27"/>
        <v>4800000</v>
      </c>
      <c r="AQ114" s="183">
        <f t="shared" si="28"/>
        <v>4800000</v>
      </c>
      <c r="AR114" s="182">
        <f t="shared" si="23"/>
        <v>0</v>
      </c>
      <c r="AS114" s="182">
        <f t="shared" si="24"/>
        <v>0</v>
      </c>
      <c r="AT114" s="182">
        <v>0</v>
      </c>
      <c r="AU114" s="182">
        <v>0</v>
      </c>
      <c r="AV114" s="199"/>
      <c r="AW114" s="285"/>
      <c r="AX114" s="285"/>
      <c r="AY114" s="266"/>
      <c r="AZ114" s="280"/>
      <c r="BA114" s="281" t="s">
        <v>1981</v>
      </c>
      <c r="BB114" s="282">
        <f>VLOOKUP(H114,[1]NVKD!$C$1:$M$3296,11,0)</f>
        <v>3</v>
      </c>
      <c r="BC114" s="281" t="s">
        <v>1982</v>
      </c>
      <c r="BD114" s="283" t="str">
        <f t="shared" si="25"/>
        <v>Showroom Bến Lức</v>
      </c>
      <c r="BF114" s="284">
        <f t="shared" si="26"/>
        <v>0</v>
      </c>
      <c r="BG114" s="284">
        <f>IFERROR(IF(Y114=0,0, IF(Y114 / VLOOKUP(M114,'[1]CSBH THƯỞNG XE'!$U$3:$AA$1100,7,FALSE) &lt; 0.5,0,MIN((Y114 / VLOOKUP(M114,'[1]CSBH THƯỞNG XE'!$U$3:$AA$1100,7,FALSE)) * 20%,20%))),0)</f>
        <v>0</v>
      </c>
      <c r="BI114" s="287"/>
    </row>
    <row r="115" spans="1:61" s="286" customFormat="1" ht="20.149999999999999" customHeight="1">
      <c r="A115" s="185">
        <v>46121</v>
      </c>
      <c r="B115" s="186">
        <f t="shared" si="19"/>
        <v>9</v>
      </c>
      <c r="C115" s="186">
        <f t="shared" si="20"/>
        <v>4</v>
      </c>
      <c r="D115" s="186">
        <f t="shared" si="21"/>
        <v>2026</v>
      </c>
      <c r="E115" s="185">
        <v>46122</v>
      </c>
      <c r="F115" s="187" t="s">
        <v>1164</v>
      </c>
      <c r="G115" s="188" t="s">
        <v>258</v>
      </c>
      <c r="H115" s="189" t="s">
        <v>189</v>
      </c>
      <c r="I115" s="189" t="s">
        <v>259</v>
      </c>
      <c r="J115" s="189" t="s">
        <v>1165</v>
      </c>
      <c r="K115" s="190"/>
      <c r="L115" s="190"/>
      <c r="M115" s="191" t="s">
        <v>55</v>
      </c>
      <c r="N115" s="191" t="s">
        <v>285</v>
      </c>
      <c r="O115" s="188" t="s">
        <v>191</v>
      </c>
      <c r="P115" s="192"/>
      <c r="Q115" s="180">
        <v>1</v>
      </c>
      <c r="R115" s="192" t="s">
        <v>486</v>
      </c>
      <c r="S115" s="193"/>
      <c r="T115" s="193"/>
      <c r="U115" s="193">
        <v>248545455</v>
      </c>
      <c r="V115" s="193"/>
      <c r="W115" s="194">
        <v>4497430</v>
      </c>
      <c r="X115" s="194"/>
      <c r="Y115" s="194"/>
      <c r="Z115" s="194"/>
      <c r="AA115" s="194">
        <v>0</v>
      </c>
      <c r="AB115" s="194">
        <f t="shared" si="29"/>
        <v>0</v>
      </c>
      <c r="AC115" s="195">
        <f t="shared" si="30"/>
        <v>0</v>
      </c>
      <c r="AD115" s="196">
        <f t="shared" si="11"/>
        <v>0</v>
      </c>
      <c r="AE115" s="195"/>
      <c r="AF115" s="195"/>
      <c r="AG115" s="195"/>
      <c r="AH115" s="193"/>
      <c r="AI115" s="197"/>
      <c r="AJ115" s="198"/>
      <c r="AK115" s="188" t="s">
        <v>250</v>
      </c>
      <c r="AL115" s="181">
        <f>IF(E115&gt;=DATE(2026,4,1),IF(OR($AK115="Khách hàng thông thường",$AK115="Khách hàng chuyển đổi xe xăng"),IFERROR(VLOOKUP($M115,'[1]CSBH THƯỞNG XE'!$U$3:$YY$800,3,0),0),IF($AK115="Khách hàng Khối Quân đội - Công An",IFERROR(VLOOKUP($M115,'[1]CSBH THƯỞNG XE'!$U$3:$X$600,4,0),0),IF($AK115="Khách hàng Giờ trái đất",IFERROR(VLOOKUP($M115,'[1]CSBH THƯỞNG XE'!$U$3:$Y$700,5,0),0),0))),0)</f>
        <v>8000000</v>
      </c>
      <c r="AM115" s="181"/>
      <c r="AN115" s="181"/>
      <c r="AO115" s="182">
        <f t="shared" si="22"/>
        <v>6400000</v>
      </c>
      <c r="AP115" s="182">
        <f t="shared" si="27"/>
        <v>6400000</v>
      </c>
      <c r="AQ115" s="183">
        <f t="shared" si="28"/>
        <v>6400000</v>
      </c>
      <c r="AR115" s="182">
        <f t="shared" si="23"/>
        <v>0</v>
      </c>
      <c r="AS115" s="182">
        <f t="shared" si="24"/>
        <v>0</v>
      </c>
      <c r="AT115" s="182">
        <v>0</v>
      </c>
      <c r="AU115" s="182">
        <v>0</v>
      </c>
      <c r="AV115" s="199"/>
      <c r="AW115" s="285"/>
      <c r="AX115" s="285"/>
      <c r="AY115" s="266"/>
      <c r="AZ115" s="280"/>
      <c r="BA115" s="281" t="s">
        <v>1981</v>
      </c>
      <c r="BB115" s="282">
        <f>VLOOKUP(H115,[1]NVKD!$C$1:$M$3296,11,0)</f>
        <v>4</v>
      </c>
      <c r="BC115" s="281" t="s">
        <v>1982</v>
      </c>
      <c r="BD115" s="283" t="str">
        <f t="shared" si="25"/>
        <v>Showroom 50 Nguyễn Văn Tăng</v>
      </c>
      <c r="BF115" s="284">
        <f t="shared" si="26"/>
        <v>0.2</v>
      </c>
      <c r="BG115" s="284">
        <f>IFERROR(IF(Y115=0,0, IF(Y115 / VLOOKUP(M115,'[1]CSBH THƯỞNG XE'!$U$3:$AA$1100,7,FALSE) &lt; 0.5,0,MIN((Y115 / VLOOKUP(M115,'[1]CSBH THƯỞNG XE'!$U$3:$AA$1100,7,FALSE)) * 20%,20%))),0)</f>
        <v>0</v>
      </c>
      <c r="BI115" s="287"/>
    </row>
    <row r="116" spans="1:61" s="286" customFormat="1" ht="20.149999999999999" customHeight="1">
      <c r="A116" s="185">
        <v>46120</v>
      </c>
      <c r="B116" s="186">
        <f t="shared" si="19"/>
        <v>8</v>
      </c>
      <c r="C116" s="186">
        <f t="shared" si="20"/>
        <v>4</v>
      </c>
      <c r="D116" s="186">
        <f t="shared" si="21"/>
        <v>2026</v>
      </c>
      <c r="E116" s="185">
        <v>46125</v>
      </c>
      <c r="F116" s="187" t="s">
        <v>1166</v>
      </c>
      <c r="G116" s="188" t="s">
        <v>251</v>
      </c>
      <c r="H116" s="189" t="s">
        <v>279</v>
      </c>
      <c r="I116" s="189" t="s">
        <v>265</v>
      </c>
      <c r="J116" s="189" t="s">
        <v>414</v>
      </c>
      <c r="K116" s="190"/>
      <c r="L116" s="190"/>
      <c r="M116" s="191" t="s">
        <v>110</v>
      </c>
      <c r="N116" s="191" t="s">
        <v>255</v>
      </c>
      <c r="O116" s="188" t="s">
        <v>105</v>
      </c>
      <c r="P116" s="192"/>
      <c r="Q116" s="180">
        <v>1</v>
      </c>
      <c r="R116" s="192" t="s">
        <v>416</v>
      </c>
      <c r="S116" s="193"/>
      <c r="T116" s="193"/>
      <c r="U116" s="193">
        <v>442963636</v>
      </c>
      <c r="V116" s="193"/>
      <c r="W116" s="194"/>
      <c r="X116" s="194"/>
      <c r="Y116" s="194"/>
      <c r="Z116" s="194"/>
      <c r="AA116" s="194">
        <v>10000000</v>
      </c>
      <c r="AB116" s="194">
        <f t="shared" si="29"/>
        <v>10000000</v>
      </c>
      <c r="AC116" s="195">
        <f t="shared" si="30"/>
        <v>10000000</v>
      </c>
      <c r="AD116" s="196">
        <f t="shared" si="11"/>
        <v>10000000</v>
      </c>
      <c r="AE116" s="195"/>
      <c r="AF116" s="195"/>
      <c r="AG116" s="195"/>
      <c r="AH116" s="193"/>
      <c r="AI116" s="197"/>
      <c r="AJ116" s="198"/>
      <c r="AK116" s="188" t="s">
        <v>250</v>
      </c>
      <c r="AL116" s="181">
        <f>IF(E116&gt;=DATE(2026,4,1),IF(OR($AK116="Khách hàng thông thường",$AK116="Khách hàng chuyển đổi xe xăng"),IFERROR(VLOOKUP($M116,'[1]CSBH THƯỞNG XE'!$U$3:$YY$800,3,0),0),IF($AK116="Khách hàng Khối Quân đội - Công An",IFERROR(VLOOKUP($M116,'[1]CSBH THƯỞNG XE'!$U$3:$X$600,4,0),0),IF($AK116="Khách hàng Giờ trái đất",IFERROR(VLOOKUP($M116,'[1]CSBH THƯỞNG XE'!$U$3:$Y$700,5,0),0),0))),0)</f>
        <v>16000000</v>
      </c>
      <c r="AM116" s="181"/>
      <c r="AN116" s="181"/>
      <c r="AO116" s="182">
        <f t="shared" si="22"/>
        <v>3600000</v>
      </c>
      <c r="AP116" s="182">
        <f t="shared" si="27"/>
        <v>3600000</v>
      </c>
      <c r="AQ116" s="183">
        <f t="shared" si="28"/>
        <v>3600000</v>
      </c>
      <c r="AR116" s="182">
        <f t="shared" si="23"/>
        <v>0</v>
      </c>
      <c r="AS116" s="182">
        <f t="shared" si="24"/>
        <v>0</v>
      </c>
      <c r="AT116" s="182">
        <v>0</v>
      </c>
      <c r="AU116" s="182">
        <v>0</v>
      </c>
      <c r="AV116" s="199"/>
      <c r="AW116" s="285"/>
      <c r="AX116" s="285"/>
      <c r="AY116" s="266"/>
      <c r="AZ116" s="280"/>
      <c r="BA116" s="281" t="s">
        <v>1983</v>
      </c>
      <c r="BB116" s="282">
        <f>VLOOKUP(H116,[1]NVKD!$C$1:$M$3296,11,0)</f>
        <v>4</v>
      </c>
      <c r="BC116" s="281" t="s">
        <v>1982</v>
      </c>
      <c r="BD116" s="283" t="str">
        <f t="shared" si="25"/>
        <v>Showroom Tân An</v>
      </c>
      <c r="BF116" s="284">
        <f t="shared" si="26"/>
        <v>0</v>
      </c>
      <c r="BG116" s="284">
        <f>IFERROR(IF(Y116=0,0, IF(Y116 / VLOOKUP(M116,'[1]CSBH THƯỞNG XE'!$U$3:$AA$1100,7,FALSE) &lt; 0.5,0,MIN((Y116 / VLOOKUP(M116,'[1]CSBH THƯỞNG XE'!$U$3:$AA$1100,7,FALSE)) * 20%,20%))),0)</f>
        <v>0</v>
      </c>
      <c r="BI116" s="287"/>
    </row>
    <row r="117" spans="1:61" s="286" customFormat="1" ht="20.149999999999999" customHeight="1">
      <c r="A117" s="185">
        <v>46122</v>
      </c>
      <c r="B117" s="186">
        <f t="shared" si="19"/>
        <v>10</v>
      </c>
      <c r="C117" s="186">
        <f t="shared" si="20"/>
        <v>4</v>
      </c>
      <c r="D117" s="186">
        <f t="shared" si="21"/>
        <v>2026</v>
      </c>
      <c r="E117" s="185">
        <v>46125</v>
      </c>
      <c r="F117" s="187" t="s">
        <v>1167</v>
      </c>
      <c r="G117" s="188" t="s">
        <v>246</v>
      </c>
      <c r="H117" s="189" t="s">
        <v>116</v>
      </c>
      <c r="I117" s="189" t="s">
        <v>247</v>
      </c>
      <c r="J117" s="189" t="s">
        <v>644</v>
      </c>
      <c r="K117" s="190"/>
      <c r="L117" s="190"/>
      <c r="M117" s="191" t="s">
        <v>55</v>
      </c>
      <c r="N117" s="191" t="s">
        <v>275</v>
      </c>
      <c r="O117" s="188" t="s">
        <v>134</v>
      </c>
      <c r="P117" s="192"/>
      <c r="Q117" s="180">
        <v>1</v>
      </c>
      <c r="R117" s="192" t="s">
        <v>646</v>
      </c>
      <c r="S117" s="193"/>
      <c r="T117" s="193"/>
      <c r="U117" s="193">
        <v>258072727</v>
      </c>
      <c r="V117" s="193"/>
      <c r="W117" s="194"/>
      <c r="X117" s="194"/>
      <c r="Y117" s="194">
        <v>3279000</v>
      </c>
      <c r="Z117" s="194"/>
      <c r="AA117" s="194">
        <v>0</v>
      </c>
      <c r="AB117" s="194">
        <f t="shared" si="29"/>
        <v>0</v>
      </c>
      <c r="AC117" s="195">
        <f t="shared" si="30"/>
        <v>0</v>
      </c>
      <c r="AD117" s="196">
        <f t="shared" si="11"/>
        <v>0</v>
      </c>
      <c r="AE117" s="195"/>
      <c r="AF117" s="195"/>
      <c r="AG117" s="195"/>
      <c r="AH117" s="193"/>
      <c r="AI117" s="197"/>
      <c r="AJ117" s="198"/>
      <c r="AK117" s="188" t="s">
        <v>250</v>
      </c>
      <c r="AL117" s="181">
        <f>IF(E117&gt;=DATE(2026,4,1),IF(OR($AK117="Khách hàng thông thường",$AK117="Khách hàng chuyển đổi xe xăng"),IFERROR(VLOOKUP($M117,'[1]CSBH THƯỞNG XE'!$U$3:$YY$800,3,0),0),IF($AK117="Khách hàng Khối Quân đội - Công An",IFERROR(VLOOKUP($M117,'[1]CSBH THƯỞNG XE'!$U$3:$X$600,4,0),0),IF($AK117="Khách hàng Giờ trái đất",IFERROR(VLOOKUP($M117,'[1]CSBH THƯỞNG XE'!$U$3:$Y$700,5,0),0),0))),0)</f>
        <v>8000000</v>
      </c>
      <c r="AM117" s="181"/>
      <c r="AN117" s="181"/>
      <c r="AO117" s="182">
        <f t="shared" si="22"/>
        <v>8000000</v>
      </c>
      <c r="AP117" s="182">
        <f t="shared" si="27"/>
        <v>8000000</v>
      </c>
      <c r="AQ117" s="183">
        <f t="shared" si="28"/>
        <v>8000000</v>
      </c>
      <c r="AR117" s="182">
        <f t="shared" si="23"/>
        <v>0</v>
      </c>
      <c r="AS117" s="182">
        <f t="shared" si="24"/>
        <v>0</v>
      </c>
      <c r="AT117" s="182">
        <v>0</v>
      </c>
      <c r="AU117" s="182">
        <v>0</v>
      </c>
      <c r="AV117" s="194">
        <v>3279000</v>
      </c>
      <c r="AW117" s="285"/>
      <c r="AX117" s="285"/>
      <c r="AY117" s="266"/>
      <c r="AZ117" s="280"/>
      <c r="BA117" s="281" t="s">
        <v>1981</v>
      </c>
      <c r="BB117" s="282">
        <f>VLOOKUP(H117,[1]NVKD!$C$1:$M$3296,11,0)</f>
        <v>3</v>
      </c>
      <c r="BC117" s="281" t="s">
        <v>1984</v>
      </c>
      <c r="BD117" s="283" t="str">
        <f t="shared" si="25"/>
        <v>Showroom Bến Lức</v>
      </c>
      <c r="BF117" s="284">
        <f t="shared" si="26"/>
        <v>0.2</v>
      </c>
      <c r="BG117" s="284">
        <f>IFERROR(IF(Y117=0,0, IF(Y117 / VLOOKUP(M117,'[1]CSBH THƯỞNG XE'!$U$3:$AA$1100,7,FALSE) &lt; 0.5,0,MIN((Y117 / VLOOKUP(M117,'[1]CSBH THƯỞNG XE'!$U$3:$AA$1100,7,FALSE)) * 20%,20%))),0)</f>
        <v>0.2</v>
      </c>
      <c r="BI117" s="287"/>
    </row>
    <row r="118" spans="1:61" s="286" customFormat="1" ht="20.149999999999999" customHeight="1">
      <c r="A118" s="185">
        <v>46120</v>
      </c>
      <c r="B118" s="186">
        <f t="shared" si="19"/>
        <v>8</v>
      </c>
      <c r="C118" s="186">
        <f t="shared" si="20"/>
        <v>4</v>
      </c>
      <c r="D118" s="186">
        <f t="shared" si="21"/>
        <v>2026</v>
      </c>
      <c r="E118" s="185">
        <v>46126</v>
      </c>
      <c r="F118" s="187" t="s">
        <v>1168</v>
      </c>
      <c r="G118" s="188" t="s">
        <v>258</v>
      </c>
      <c r="H118" s="189" t="s">
        <v>193</v>
      </c>
      <c r="I118" s="189" t="s">
        <v>282</v>
      </c>
      <c r="J118" s="189" t="s">
        <v>1169</v>
      </c>
      <c r="K118" s="190"/>
      <c r="L118" s="190"/>
      <c r="M118" s="191" t="s">
        <v>56</v>
      </c>
      <c r="N118" s="191" t="s">
        <v>262</v>
      </c>
      <c r="O118" s="188" t="s">
        <v>140</v>
      </c>
      <c r="P118" s="192"/>
      <c r="Q118" s="180">
        <v>1</v>
      </c>
      <c r="R118" s="192" t="s">
        <v>525</v>
      </c>
      <c r="S118" s="193"/>
      <c r="T118" s="193"/>
      <c r="U118" s="193">
        <v>263727273</v>
      </c>
      <c r="V118" s="193"/>
      <c r="W118" s="194">
        <v>5000000</v>
      </c>
      <c r="X118" s="194"/>
      <c r="Y118" s="194"/>
      <c r="Z118" s="194"/>
      <c r="AA118" s="194">
        <v>6000000</v>
      </c>
      <c r="AB118" s="194">
        <f t="shared" si="29"/>
        <v>6000000</v>
      </c>
      <c r="AC118" s="195">
        <f t="shared" si="30"/>
        <v>6000000</v>
      </c>
      <c r="AD118" s="196">
        <f t="shared" si="11"/>
        <v>6000000</v>
      </c>
      <c r="AE118" s="195"/>
      <c r="AF118" s="195"/>
      <c r="AG118" s="195"/>
      <c r="AH118" s="193"/>
      <c r="AI118" s="197"/>
      <c r="AJ118" s="198"/>
      <c r="AK118" s="188" t="s">
        <v>250</v>
      </c>
      <c r="AL118" s="181">
        <f>IF(E118&gt;=DATE(2026,4,1),IF(OR($AK118="Khách hàng thông thường",$AK118="Khách hàng chuyển đổi xe xăng"),IFERROR(VLOOKUP($M118,'[1]CSBH THƯỞNG XE'!$U$3:$YY$800,3,0),0),IF($AK118="Khách hàng Khối Quân đội - Công An",IFERROR(VLOOKUP($M118,'[1]CSBH THƯỞNG XE'!$U$3:$X$600,4,0),0),IF($AK118="Khách hàng Giờ trái đất",IFERROR(VLOOKUP($M118,'[1]CSBH THƯỞNG XE'!$U$3:$Y$700,5,0),0),0))),0)</f>
        <v>8500000</v>
      </c>
      <c r="AM118" s="181"/>
      <c r="AN118" s="181"/>
      <c r="AO118" s="182">
        <f t="shared" si="22"/>
        <v>2000000</v>
      </c>
      <c r="AP118" s="182">
        <f t="shared" si="27"/>
        <v>2000000</v>
      </c>
      <c r="AQ118" s="183">
        <f t="shared" si="28"/>
        <v>2000000</v>
      </c>
      <c r="AR118" s="182">
        <f t="shared" si="23"/>
        <v>0</v>
      </c>
      <c r="AS118" s="182">
        <f t="shared" si="24"/>
        <v>0</v>
      </c>
      <c r="AT118" s="182">
        <v>0</v>
      </c>
      <c r="AU118" s="182">
        <v>0</v>
      </c>
      <c r="AV118" s="199"/>
      <c r="AW118" s="285"/>
      <c r="AX118" s="285"/>
      <c r="AY118" s="266"/>
      <c r="AZ118" s="280"/>
      <c r="BA118" s="281" t="s">
        <v>1981</v>
      </c>
      <c r="BB118" s="282">
        <f>VLOOKUP(H118,[1]NVKD!$C$1:$M$3296,11,0)</f>
        <v>1</v>
      </c>
      <c r="BC118" s="281" t="s">
        <v>1984</v>
      </c>
      <c r="BD118" s="283" t="str">
        <f t="shared" si="25"/>
        <v>Showroom 50 Nguyễn Văn Tăng</v>
      </c>
      <c r="BF118" s="284">
        <f t="shared" si="26"/>
        <v>0.2</v>
      </c>
      <c r="BG118" s="284">
        <f>IFERROR(IF(Y118=0,0, IF(Y118 / VLOOKUP(M118,'[1]CSBH THƯỞNG XE'!$U$3:$AA$1100,7,FALSE) &lt; 0.5,0,MIN((Y118 / VLOOKUP(M118,'[1]CSBH THƯỞNG XE'!$U$3:$AA$1100,7,FALSE)) * 20%,20%))),0)</f>
        <v>0</v>
      </c>
      <c r="BI118" s="287"/>
    </row>
    <row r="119" spans="1:61" s="286" customFormat="1" ht="20.149999999999999" customHeight="1">
      <c r="A119" s="185">
        <v>46119</v>
      </c>
      <c r="B119" s="186">
        <f t="shared" si="19"/>
        <v>7</v>
      </c>
      <c r="C119" s="186">
        <f t="shared" si="20"/>
        <v>4</v>
      </c>
      <c r="D119" s="186">
        <f t="shared" si="21"/>
        <v>2026</v>
      </c>
      <c r="E119" s="185">
        <v>46126</v>
      </c>
      <c r="F119" s="187" t="s">
        <v>1170</v>
      </c>
      <c r="G119" s="188" t="s">
        <v>251</v>
      </c>
      <c r="H119" s="189" t="s">
        <v>118</v>
      </c>
      <c r="I119" s="189" t="s">
        <v>265</v>
      </c>
      <c r="J119" s="189" t="s">
        <v>438</v>
      </c>
      <c r="K119" s="190"/>
      <c r="L119" s="190"/>
      <c r="M119" s="191" t="s">
        <v>55</v>
      </c>
      <c r="N119" s="191" t="s">
        <v>255</v>
      </c>
      <c r="O119" s="188" t="s">
        <v>162</v>
      </c>
      <c r="P119" s="192"/>
      <c r="Q119" s="180">
        <v>1</v>
      </c>
      <c r="R119" s="192" t="s">
        <v>440</v>
      </c>
      <c r="S119" s="193"/>
      <c r="T119" s="193"/>
      <c r="U119" s="193">
        <v>258072727</v>
      </c>
      <c r="V119" s="193"/>
      <c r="W119" s="194"/>
      <c r="X119" s="194"/>
      <c r="Y119" s="194"/>
      <c r="Z119" s="194"/>
      <c r="AA119" s="194">
        <v>0</v>
      </c>
      <c r="AB119" s="194">
        <f t="shared" si="29"/>
        <v>0</v>
      </c>
      <c r="AC119" s="195">
        <f t="shared" si="30"/>
        <v>0</v>
      </c>
      <c r="AD119" s="196">
        <f t="shared" si="11"/>
        <v>0</v>
      </c>
      <c r="AE119" s="195"/>
      <c r="AF119" s="195"/>
      <c r="AG119" s="195"/>
      <c r="AH119" s="193"/>
      <c r="AI119" s="197"/>
      <c r="AJ119" s="198"/>
      <c r="AK119" s="188" t="s">
        <v>250</v>
      </c>
      <c r="AL119" s="181">
        <f>IF(E119&gt;=DATE(2026,4,1),IF(OR($AK119="Khách hàng thông thường",$AK119="Khách hàng chuyển đổi xe xăng"),IFERROR(VLOOKUP($M119,'[1]CSBH THƯỞNG XE'!$U$3:$YY$800,3,0),0),IF($AK119="Khách hàng Khối Quân đội - Công An",IFERROR(VLOOKUP($M119,'[1]CSBH THƯỞNG XE'!$U$3:$X$600,4,0),0),IF($AK119="Khách hàng Giờ trái đất",IFERROR(VLOOKUP($M119,'[1]CSBH THƯỞNG XE'!$U$3:$Y$700,5,0),0),0))),0)</f>
        <v>8000000</v>
      </c>
      <c r="AM119" s="181"/>
      <c r="AN119" s="181"/>
      <c r="AO119" s="182">
        <f t="shared" si="22"/>
        <v>4800000</v>
      </c>
      <c r="AP119" s="182">
        <f t="shared" si="27"/>
        <v>4800000</v>
      </c>
      <c r="AQ119" s="183">
        <f t="shared" si="28"/>
        <v>4800000</v>
      </c>
      <c r="AR119" s="182">
        <f t="shared" si="23"/>
        <v>0</v>
      </c>
      <c r="AS119" s="182">
        <f t="shared" si="24"/>
        <v>0</v>
      </c>
      <c r="AT119" s="182">
        <v>0</v>
      </c>
      <c r="AU119" s="182">
        <v>0</v>
      </c>
      <c r="AV119" s="199"/>
      <c r="AW119" s="285"/>
      <c r="AX119" s="285"/>
      <c r="AY119" s="266"/>
      <c r="AZ119" s="280"/>
      <c r="BA119" s="281" t="s">
        <v>1983</v>
      </c>
      <c r="BB119" s="282">
        <f>VLOOKUP(H119,[1]NVKD!$C$1:$M$3296,11,0)</f>
        <v>4</v>
      </c>
      <c r="BC119" s="281" t="s">
        <v>1982</v>
      </c>
      <c r="BD119" s="283" t="str">
        <f t="shared" si="25"/>
        <v>Showroom Tân An</v>
      </c>
      <c r="BF119" s="284">
        <f t="shared" si="26"/>
        <v>0</v>
      </c>
      <c r="BG119" s="284">
        <f>IFERROR(IF(Y119=0,0, IF(Y119 / VLOOKUP(M119,'[1]CSBH THƯỞNG XE'!$U$3:$AA$1100,7,FALSE) &lt; 0.5,0,MIN((Y119 / VLOOKUP(M119,'[1]CSBH THƯỞNG XE'!$U$3:$AA$1100,7,FALSE)) * 20%,20%))),0)</f>
        <v>0</v>
      </c>
      <c r="BI119" s="287"/>
    </row>
    <row r="120" spans="1:61" s="286" customFormat="1" ht="20.149999999999999" customHeight="1">
      <c r="A120" s="185">
        <v>46119</v>
      </c>
      <c r="B120" s="186">
        <f t="shared" si="19"/>
        <v>7</v>
      </c>
      <c r="C120" s="186">
        <f t="shared" si="20"/>
        <v>4</v>
      </c>
      <c r="D120" s="186">
        <f t="shared" si="21"/>
        <v>2026</v>
      </c>
      <c r="E120" s="185">
        <v>46127</v>
      </c>
      <c r="F120" s="187" t="s">
        <v>1171</v>
      </c>
      <c r="G120" s="188" t="s">
        <v>263</v>
      </c>
      <c r="H120" s="189" t="s">
        <v>559</v>
      </c>
      <c r="I120" s="189" t="s">
        <v>264</v>
      </c>
      <c r="J120" s="189" t="s">
        <v>560</v>
      </c>
      <c r="K120" s="190"/>
      <c r="L120" s="190"/>
      <c r="M120" s="191" t="s">
        <v>114</v>
      </c>
      <c r="N120" s="191" t="s">
        <v>248</v>
      </c>
      <c r="O120" s="188" t="s">
        <v>148</v>
      </c>
      <c r="P120" s="192"/>
      <c r="Q120" s="180">
        <v>1</v>
      </c>
      <c r="R120" s="192" t="s">
        <v>562</v>
      </c>
      <c r="S120" s="193"/>
      <c r="T120" s="193"/>
      <c r="U120" s="193">
        <v>640054545</v>
      </c>
      <c r="V120" s="193"/>
      <c r="W120" s="194">
        <v>9842759</v>
      </c>
      <c r="X120" s="194"/>
      <c r="Y120" s="194"/>
      <c r="Z120" s="194"/>
      <c r="AA120" s="194">
        <v>0</v>
      </c>
      <c r="AB120" s="194">
        <f t="shared" si="29"/>
        <v>0</v>
      </c>
      <c r="AC120" s="195">
        <f t="shared" si="30"/>
        <v>0</v>
      </c>
      <c r="AD120" s="196">
        <f t="shared" si="11"/>
        <v>0</v>
      </c>
      <c r="AE120" s="195"/>
      <c r="AF120" s="195"/>
      <c r="AG120" s="195"/>
      <c r="AH120" s="193"/>
      <c r="AI120" s="197"/>
      <c r="AJ120" s="198"/>
      <c r="AK120" s="188" t="s">
        <v>250</v>
      </c>
      <c r="AL120" s="181">
        <f>IF(E120&gt;=DATE(2026,4,1),IF(OR($AK120="Khách hàng thông thường",$AK120="Khách hàng chuyển đổi xe xăng"),IFERROR(VLOOKUP($M120,'[1]CSBH THƯỞNG XE'!$U$3:$YY$800,3,0),0),IF($AK120="Khách hàng Khối Quân đội - Công An",IFERROR(VLOOKUP($M120,'[1]CSBH THƯỞNG XE'!$U$3:$X$600,4,0),0),IF($AK120="Khách hàng Giờ trái đất",IFERROR(VLOOKUP($M120,'[1]CSBH THƯỞNG XE'!$U$3:$Y$700,5,0),0),0))),0)</f>
        <v>19000000</v>
      </c>
      <c r="AM120" s="181"/>
      <c r="AN120" s="181"/>
      <c r="AO120" s="182">
        <f t="shared" si="22"/>
        <v>15200000</v>
      </c>
      <c r="AP120" s="182">
        <f t="shared" si="27"/>
        <v>15200000</v>
      </c>
      <c r="AQ120" s="183">
        <f t="shared" si="28"/>
        <v>18200000</v>
      </c>
      <c r="AR120" s="182">
        <f t="shared" si="23"/>
        <v>0</v>
      </c>
      <c r="AS120" s="182">
        <f t="shared" si="24"/>
        <v>3000000</v>
      </c>
      <c r="AT120" s="182">
        <v>15000000</v>
      </c>
      <c r="AU120" s="182">
        <v>9842759</v>
      </c>
      <c r="AV120" s="199"/>
      <c r="AW120" s="285"/>
      <c r="AX120" s="285"/>
      <c r="AY120" s="266"/>
      <c r="AZ120" s="280"/>
      <c r="BA120" s="281" t="s">
        <v>1983</v>
      </c>
      <c r="BB120" s="282">
        <f>VLOOKUP(H120,[1]NVKD!$C$1:$M$3296,11,0)</f>
        <v>2</v>
      </c>
      <c r="BC120" s="281" t="s">
        <v>1982</v>
      </c>
      <c r="BD120" s="283" t="str">
        <f t="shared" si="25"/>
        <v>Showroom Quang Trung</v>
      </c>
      <c r="BF120" s="284">
        <f t="shared" si="26"/>
        <v>0.2</v>
      </c>
      <c r="BG120" s="284">
        <f>IFERROR(IF(Y120=0,0, IF(Y120 / VLOOKUP(M120,'[1]CSBH THƯỞNG XE'!$U$3:$AA$1100,7,FALSE) &lt; 0.5,0,MIN((Y120 / VLOOKUP(M120,'[1]CSBH THƯỞNG XE'!$U$3:$AA$1100,7,FALSE)) * 20%,20%))),0)</f>
        <v>0</v>
      </c>
      <c r="BI120" s="287"/>
    </row>
    <row r="121" spans="1:61" s="286" customFormat="1" ht="20.149999999999999" customHeight="1">
      <c r="A121" s="185">
        <v>46122</v>
      </c>
      <c r="B121" s="186">
        <f t="shared" si="19"/>
        <v>10</v>
      </c>
      <c r="C121" s="186">
        <f t="shared" si="20"/>
        <v>4</v>
      </c>
      <c r="D121" s="186">
        <f t="shared" si="21"/>
        <v>2026</v>
      </c>
      <c r="E121" s="185">
        <v>46127</v>
      </c>
      <c r="F121" s="187" t="s">
        <v>1172</v>
      </c>
      <c r="G121" s="188" t="s">
        <v>258</v>
      </c>
      <c r="H121" s="189" t="s">
        <v>145</v>
      </c>
      <c r="I121" s="189" t="s">
        <v>261</v>
      </c>
      <c r="J121" s="189" t="s">
        <v>1173</v>
      </c>
      <c r="K121" s="190"/>
      <c r="L121" s="190"/>
      <c r="M121" s="191" t="s">
        <v>114</v>
      </c>
      <c r="N121" s="191" t="s">
        <v>277</v>
      </c>
      <c r="O121" s="188" t="s">
        <v>114</v>
      </c>
      <c r="P121" s="192"/>
      <c r="Q121" s="180">
        <v>1</v>
      </c>
      <c r="R121" s="192" t="s">
        <v>533</v>
      </c>
      <c r="S121" s="193"/>
      <c r="T121" s="193"/>
      <c r="U121" s="193">
        <v>630963636</v>
      </c>
      <c r="V121" s="193"/>
      <c r="W121" s="194">
        <v>9716840</v>
      </c>
      <c r="X121" s="194"/>
      <c r="Y121" s="194"/>
      <c r="Z121" s="194"/>
      <c r="AA121" s="194">
        <v>10000000</v>
      </c>
      <c r="AB121" s="194">
        <f t="shared" si="29"/>
        <v>10000000</v>
      </c>
      <c r="AC121" s="195">
        <f t="shared" si="30"/>
        <v>10000000</v>
      </c>
      <c r="AD121" s="196">
        <f t="shared" si="11"/>
        <v>10000000</v>
      </c>
      <c r="AE121" s="195"/>
      <c r="AF121" s="195"/>
      <c r="AG121" s="195"/>
      <c r="AH121" s="193"/>
      <c r="AI121" s="197"/>
      <c r="AJ121" s="198"/>
      <c r="AK121" s="188" t="s">
        <v>250</v>
      </c>
      <c r="AL121" s="181">
        <f>IF(E121&gt;=DATE(2026,4,1),IF(OR($AK121="Khách hàng thông thường",$AK121="Khách hàng chuyển đổi xe xăng"),IFERROR(VLOOKUP($M121,'[1]CSBH THƯỞNG XE'!$U$3:$YY$800,3,0),0),IF($AK121="Khách hàng Khối Quân đội - Công An",IFERROR(VLOOKUP($M121,'[1]CSBH THƯỞNG XE'!$U$3:$X$600,4,0),0),IF($AK121="Khách hàng Giờ trái đất",IFERROR(VLOOKUP($M121,'[1]CSBH THƯỞNG XE'!$U$3:$Y$700,5,0),0),0))),0)</f>
        <v>19000000</v>
      </c>
      <c r="AM121" s="181"/>
      <c r="AN121" s="181"/>
      <c r="AO121" s="182">
        <f t="shared" si="22"/>
        <v>7200000</v>
      </c>
      <c r="AP121" s="182">
        <f t="shared" si="27"/>
        <v>7200000</v>
      </c>
      <c r="AQ121" s="183">
        <f t="shared" si="28"/>
        <v>10200000</v>
      </c>
      <c r="AR121" s="182">
        <f t="shared" si="23"/>
        <v>0</v>
      </c>
      <c r="AS121" s="182">
        <f t="shared" si="24"/>
        <v>3000000</v>
      </c>
      <c r="AT121" s="182">
        <v>0</v>
      </c>
      <c r="AU121" s="182">
        <v>9716840</v>
      </c>
      <c r="AV121" s="199"/>
      <c r="AW121" s="285"/>
      <c r="AX121" s="285"/>
      <c r="AY121" s="266"/>
      <c r="AZ121" s="280"/>
      <c r="BA121" s="281" t="s">
        <v>1983</v>
      </c>
      <c r="BB121" s="282">
        <f>VLOOKUP(H121,[1]NVKD!$C$1:$M$3296,11,0)</f>
        <v>3</v>
      </c>
      <c r="BC121" s="281" t="s">
        <v>1982</v>
      </c>
      <c r="BD121" s="283" t="str">
        <f t="shared" si="25"/>
        <v>Showroom 50 Nguyễn Văn Tăng</v>
      </c>
      <c r="BF121" s="284">
        <f t="shared" si="26"/>
        <v>0.2</v>
      </c>
      <c r="BG121" s="284">
        <f>IFERROR(IF(Y121=0,0, IF(Y121 / VLOOKUP(M121,'[1]CSBH THƯỞNG XE'!$U$3:$AA$1100,7,FALSE) &lt; 0.5,0,MIN((Y121 / VLOOKUP(M121,'[1]CSBH THƯỞNG XE'!$U$3:$AA$1100,7,FALSE)) * 20%,20%))),0)</f>
        <v>0</v>
      </c>
      <c r="BI121" s="287"/>
    </row>
    <row r="122" spans="1:61" s="286" customFormat="1" ht="20.149999999999999" customHeight="1">
      <c r="A122" s="185">
        <v>46119</v>
      </c>
      <c r="B122" s="186">
        <f t="shared" si="19"/>
        <v>7</v>
      </c>
      <c r="C122" s="186">
        <f t="shared" si="20"/>
        <v>4</v>
      </c>
      <c r="D122" s="186">
        <f t="shared" si="21"/>
        <v>2026</v>
      </c>
      <c r="E122" s="185">
        <v>46127</v>
      </c>
      <c r="F122" s="187" t="s">
        <v>1174</v>
      </c>
      <c r="G122" s="188" t="s">
        <v>251</v>
      </c>
      <c r="H122" s="189" t="s">
        <v>156</v>
      </c>
      <c r="I122" s="189" t="s">
        <v>252</v>
      </c>
      <c r="J122" s="189" t="s">
        <v>441</v>
      </c>
      <c r="K122" s="190"/>
      <c r="L122" s="190"/>
      <c r="M122" s="191" t="s">
        <v>257</v>
      </c>
      <c r="N122" s="191" t="s">
        <v>255</v>
      </c>
      <c r="O122" s="188" t="s">
        <v>105</v>
      </c>
      <c r="P122" s="192"/>
      <c r="Q122" s="180">
        <v>1</v>
      </c>
      <c r="R122" s="192" t="s">
        <v>443</v>
      </c>
      <c r="S122" s="193"/>
      <c r="T122" s="193"/>
      <c r="U122" s="193">
        <v>677536364</v>
      </c>
      <c r="V122" s="193"/>
      <c r="W122" s="194"/>
      <c r="X122" s="194"/>
      <c r="Y122" s="194">
        <v>3932000</v>
      </c>
      <c r="Z122" s="194"/>
      <c r="AA122" s="194">
        <v>0</v>
      </c>
      <c r="AB122" s="194">
        <f t="shared" si="29"/>
        <v>0</v>
      </c>
      <c r="AC122" s="195">
        <f t="shared" si="30"/>
        <v>0</v>
      </c>
      <c r="AD122" s="196">
        <f t="shared" si="11"/>
        <v>0</v>
      </c>
      <c r="AE122" s="195"/>
      <c r="AF122" s="195"/>
      <c r="AG122" s="195"/>
      <c r="AH122" s="193"/>
      <c r="AI122" s="197"/>
      <c r="AJ122" s="198"/>
      <c r="AK122" s="188" t="s">
        <v>250</v>
      </c>
      <c r="AL122" s="181">
        <f>IF(E122&gt;=DATE(2026,4,1),IF(OR($AK122="Khách hàng thông thường",$AK122="Khách hàng chuyển đổi xe xăng"),IFERROR(VLOOKUP($M122,'[1]CSBH THƯỞNG XE'!$U$3:$YY$800,3,0),0),IF($AK122="Khách hàng Khối Quân đội - Công An",IFERROR(VLOOKUP($M122,'[1]CSBH THƯỞNG XE'!$U$3:$X$600,4,0),0),IF($AK122="Khách hàng Giờ trái đất",IFERROR(VLOOKUP($M122,'[1]CSBH THƯỞNG XE'!$U$3:$Y$700,5,0),0),0))),0)</f>
        <v>20000000</v>
      </c>
      <c r="AM122" s="181"/>
      <c r="AN122" s="181"/>
      <c r="AO122" s="182">
        <f t="shared" si="22"/>
        <v>15742880.661648395</v>
      </c>
      <c r="AP122" s="182">
        <f t="shared" si="27"/>
        <v>15742880.661648395</v>
      </c>
      <c r="AQ122" s="183">
        <f t="shared" si="28"/>
        <v>15742880.661648395</v>
      </c>
      <c r="AR122" s="182">
        <f t="shared" si="23"/>
        <v>0</v>
      </c>
      <c r="AS122" s="182">
        <f t="shared" si="24"/>
        <v>0</v>
      </c>
      <c r="AT122" s="182">
        <v>0</v>
      </c>
      <c r="AU122" s="182">
        <v>0</v>
      </c>
      <c r="AV122" s="194">
        <v>3932000</v>
      </c>
      <c r="AW122" s="285"/>
      <c r="AX122" s="285"/>
      <c r="AY122" s="266"/>
      <c r="AZ122" s="280"/>
      <c r="BA122" s="281" t="s">
        <v>1981</v>
      </c>
      <c r="BB122" s="282">
        <f>VLOOKUP(H122,[1]NVKD!$C$1:$M$3296,11,0)</f>
        <v>3</v>
      </c>
      <c r="BC122" s="281" t="s">
        <v>1982</v>
      </c>
      <c r="BD122" s="283" t="str">
        <f t="shared" si="25"/>
        <v>Showroom Tân An</v>
      </c>
      <c r="BF122" s="284">
        <f t="shared" si="26"/>
        <v>0</v>
      </c>
      <c r="BG122" s="284">
        <f>IFERROR(IF(Y122=0,0, IF(Y122 / VLOOKUP(M122,'[1]CSBH THƯỞNG XE'!$U$3:$AA$1100,7,FALSE) &lt; 0.5,0,MIN((Y122 / VLOOKUP(M122,'[1]CSBH THƯỞNG XE'!$U$3:$AA$1100,7,FALSE)) * 20%,20%))),0)</f>
        <v>0.18714403308241978</v>
      </c>
      <c r="BI122" s="287"/>
    </row>
    <row r="123" spans="1:61" s="286" customFormat="1" ht="20.149999999999999" customHeight="1">
      <c r="A123" s="185">
        <v>46125</v>
      </c>
      <c r="B123" s="186">
        <f t="shared" si="19"/>
        <v>13</v>
      </c>
      <c r="C123" s="186">
        <f t="shared" si="20"/>
        <v>4</v>
      </c>
      <c r="D123" s="186">
        <f t="shared" si="21"/>
        <v>2026</v>
      </c>
      <c r="E123" s="185">
        <v>46127</v>
      </c>
      <c r="F123" s="187" t="s">
        <v>1175</v>
      </c>
      <c r="G123" s="188" t="s">
        <v>258</v>
      </c>
      <c r="H123" s="189" t="s">
        <v>188</v>
      </c>
      <c r="I123" s="189" t="s">
        <v>259</v>
      </c>
      <c r="J123" s="189" t="s">
        <v>1176</v>
      </c>
      <c r="K123" s="190"/>
      <c r="L123" s="190"/>
      <c r="M123" s="191" t="s">
        <v>114</v>
      </c>
      <c r="N123" s="191" t="s">
        <v>255</v>
      </c>
      <c r="O123" s="188" t="s">
        <v>114</v>
      </c>
      <c r="P123" s="192"/>
      <c r="Q123" s="180">
        <v>1</v>
      </c>
      <c r="R123" s="192" t="s">
        <v>536</v>
      </c>
      <c r="S123" s="193"/>
      <c r="T123" s="193"/>
      <c r="U123" s="193">
        <v>637327273</v>
      </c>
      <c r="V123" s="193"/>
      <c r="W123" s="194"/>
      <c r="X123" s="194"/>
      <c r="Y123" s="194"/>
      <c r="Z123" s="194"/>
      <c r="AA123" s="194">
        <v>3000000</v>
      </c>
      <c r="AB123" s="194">
        <f t="shared" si="29"/>
        <v>3000000</v>
      </c>
      <c r="AC123" s="195">
        <f t="shared" si="30"/>
        <v>3000000</v>
      </c>
      <c r="AD123" s="196">
        <f t="shared" si="11"/>
        <v>3000000</v>
      </c>
      <c r="AE123" s="195"/>
      <c r="AF123" s="195"/>
      <c r="AG123" s="195"/>
      <c r="AH123" s="193"/>
      <c r="AI123" s="197"/>
      <c r="AJ123" s="198"/>
      <c r="AK123" s="188" t="s">
        <v>250</v>
      </c>
      <c r="AL123" s="181">
        <f>IF(E123&gt;=DATE(2026,4,1),IF(OR($AK123="Khách hàng thông thường",$AK123="Khách hàng chuyển đổi xe xăng"),IFERROR(VLOOKUP($M123,'[1]CSBH THƯỞNG XE'!$U$3:$YY$800,3,0),0),IF($AK123="Khách hàng Khối Quân đội - Công An",IFERROR(VLOOKUP($M123,'[1]CSBH THƯỞNG XE'!$U$3:$X$600,4,0),0),IF($AK123="Khách hàng Giờ trái đất",IFERROR(VLOOKUP($M123,'[1]CSBH THƯỞNG XE'!$U$3:$Y$700,5,0),0),0))),0)</f>
        <v>19000000</v>
      </c>
      <c r="AM123" s="181"/>
      <c r="AN123" s="181"/>
      <c r="AO123" s="182">
        <f t="shared" si="22"/>
        <v>9600000</v>
      </c>
      <c r="AP123" s="182">
        <f t="shared" si="27"/>
        <v>9600000</v>
      </c>
      <c r="AQ123" s="183">
        <f t="shared" si="28"/>
        <v>9600000</v>
      </c>
      <c r="AR123" s="182">
        <f t="shared" si="23"/>
        <v>0</v>
      </c>
      <c r="AS123" s="182">
        <f t="shared" si="24"/>
        <v>0</v>
      </c>
      <c r="AT123" s="182">
        <v>0</v>
      </c>
      <c r="AU123" s="182">
        <v>0</v>
      </c>
      <c r="AV123" s="199"/>
      <c r="AW123" s="285"/>
      <c r="AX123" s="285"/>
      <c r="AY123" s="266"/>
      <c r="AZ123" s="280"/>
      <c r="BA123" s="281" t="s">
        <v>1983</v>
      </c>
      <c r="BB123" s="282">
        <f>VLOOKUP(H123,[1]NVKD!$C$1:$M$3296,11,0)</f>
        <v>6</v>
      </c>
      <c r="BC123" s="281" t="s">
        <v>1982</v>
      </c>
      <c r="BD123" s="283" t="str">
        <f t="shared" si="25"/>
        <v>Showroom 50 Nguyễn Văn Tăng</v>
      </c>
      <c r="BF123" s="284">
        <f t="shared" si="26"/>
        <v>0</v>
      </c>
      <c r="BG123" s="284">
        <f>IFERROR(IF(Y123=0,0, IF(Y123 / VLOOKUP(M123,'[1]CSBH THƯỞNG XE'!$U$3:$AA$1100,7,FALSE) &lt; 0.5,0,MIN((Y123 / VLOOKUP(M123,'[1]CSBH THƯỞNG XE'!$U$3:$AA$1100,7,FALSE)) * 20%,20%))),0)</f>
        <v>0</v>
      </c>
      <c r="BI123" s="287"/>
    </row>
    <row r="124" spans="1:61" s="286" customFormat="1" ht="20.149999999999999" customHeight="1">
      <c r="A124" s="185">
        <v>46119</v>
      </c>
      <c r="B124" s="186">
        <f t="shared" si="19"/>
        <v>7</v>
      </c>
      <c r="C124" s="186">
        <f t="shared" si="20"/>
        <v>4</v>
      </c>
      <c r="D124" s="186">
        <f t="shared" si="21"/>
        <v>2026</v>
      </c>
      <c r="E124" s="185">
        <v>46127</v>
      </c>
      <c r="F124" s="187" t="s">
        <v>1177</v>
      </c>
      <c r="G124" s="188" t="s">
        <v>251</v>
      </c>
      <c r="H124" s="189" t="s">
        <v>124</v>
      </c>
      <c r="I124" s="189" t="s">
        <v>252</v>
      </c>
      <c r="J124" s="189" t="s">
        <v>124</v>
      </c>
      <c r="K124" s="190"/>
      <c r="L124" s="190"/>
      <c r="M124" s="191" t="s">
        <v>257</v>
      </c>
      <c r="N124" s="191" t="s">
        <v>260</v>
      </c>
      <c r="O124" s="188" t="s">
        <v>105</v>
      </c>
      <c r="P124" s="192"/>
      <c r="Q124" s="180">
        <v>1</v>
      </c>
      <c r="R124" s="192" t="s">
        <v>477</v>
      </c>
      <c r="S124" s="193"/>
      <c r="T124" s="193"/>
      <c r="U124" s="193">
        <v>668445455</v>
      </c>
      <c r="V124" s="193"/>
      <c r="W124" s="194"/>
      <c r="X124" s="194"/>
      <c r="Y124" s="194"/>
      <c r="Z124" s="194"/>
      <c r="AA124" s="194">
        <v>10000000</v>
      </c>
      <c r="AB124" s="194">
        <f t="shared" si="29"/>
        <v>10000000</v>
      </c>
      <c r="AC124" s="195">
        <f t="shared" si="30"/>
        <v>10000000</v>
      </c>
      <c r="AD124" s="196">
        <f t="shared" si="11"/>
        <v>10000000</v>
      </c>
      <c r="AE124" s="195"/>
      <c r="AF124" s="195"/>
      <c r="AG124" s="195"/>
      <c r="AH124" s="193"/>
      <c r="AI124" s="197"/>
      <c r="AJ124" s="198"/>
      <c r="AK124" s="42" t="s">
        <v>271</v>
      </c>
      <c r="AL124" s="181">
        <f>IF(E124&gt;=DATE(2026,4,1),IF(OR($AK124="Khách hàng thông thường",$AK124="Khách hàng chuyển đổi xe xăng"),IFERROR(VLOOKUP($M124,'[1]CSBH THƯỞNG XE'!$U$3:$YY$800,3,0),0),IF($AK124="Khách hàng Khối Quân đội - Công An",IFERROR(VLOOKUP($M124,'[1]CSBH THƯỞNG XE'!$U$3:$X$600,4,0),0),IF($AK124="Khách hàng Giờ trái đất",IFERROR(VLOOKUP($M124,'[1]CSBH THƯỞNG XE'!$U$3:$Y$700,5,0),0),0))),0)</f>
        <v>10000000</v>
      </c>
      <c r="AM124" s="181"/>
      <c r="AN124" s="181"/>
      <c r="AO124" s="182">
        <f t="shared" si="22"/>
        <v>0</v>
      </c>
      <c r="AP124" s="182">
        <f t="shared" si="27"/>
        <v>0</v>
      </c>
      <c r="AQ124" s="183">
        <f t="shared" si="28"/>
        <v>0</v>
      </c>
      <c r="AR124" s="182">
        <f t="shared" si="23"/>
        <v>0</v>
      </c>
      <c r="AS124" s="182">
        <f t="shared" si="24"/>
        <v>0</v>
      </c>
      <c r="AT124" s="182">
        <v>0</v>
      </c>
      <c r="AU124" s="182">
        <v>0</v>
      </c>
      <c r="AV124" s="199"/>
      <c r="AW124" s="285"/>
      <c r="AX124" s="285"/>
      <c r="AY124" s="266"/>
      <c r="AZ124" s="280"/>
      <c r="BA124" s="281" t="s">
        <v>1981</v>
      </c>
      <c r="BB124" s="282">
        <f>VLOOKUP(H124,[1]NVKD!$C$1:$M$3296,11,0)</f>
        <v>3</v>
      </c>
      <c r="BC124" s="281" t="s">
        <v>1982</v>
      </c>
      <c r="BD124" s="283" t="str">
        <f t="shared" si="25"/>
        <v>Showroom Tân An</v>
      </c>
      <c r="BF124" s="284">
        <f t="shared" si="26"/>
        <v>0</v>
      </c>
      <c r="BG124" s="284">
        <f>IFERROR(IF(Y124=0,0, IF(Y124 / VLOOKUP(M124,'[1]CSBH THƯỞNG XE'!$U$3:$AA$1100,7,FALSE) &lt; 0.5,0,MIN((Y124 / VLOOKUP(M124,'[1]CSBH THƯỞNG XE'!$U$3:$AA$1100,7,FALSE)) * 20%,20%))),0)</f>
        <v>0</v>
      </c>
      <c r="BI124" s="287"/>
    </row>
    <row r="125" spans="1:61" s="286" customFormat="1" ht="20.149999999999999" customHeight="1">
      <c r="A125" s="185">
        <v>46123</v>
      </c>
      <c r="B125" s="186">
        <f t="shared" si="19"/>
        <v>11</v>
      </c>
      <c r="C125" s="186">
        <f t="shared" si="20"/>
        <v>4</v>
      </c>
      <c r="D125" s="186">
        <f t="shared" si="21"/>
        <v>2026</v>
      </c>
      <c r="E125" s="185">
        <v>46128</v>
      </c>
      <c r="F125" s="187" t="s">
        <v>1178</v>
      </c>
      <c r="G125" s="188" t="s">
        <v>251</v>
      </c>
      <c r="H125" s="189" t="s">
        <v>446</v>
      </c>
      <c r="I125" s="189" t="s">
        <v>265</v>
      </c>
      <c r="J125" s="189" t="s">
        <v>447</v>
      </c>
      <c r="K125" s="190"/>
      <c r="L125" s="190"/>
      <c r="M125" s="191" t="s">
        <v>55</v>
      </c>
      <c r="N125" s="191" t="s">
        <v>253</v>
      </c>
      <c r="O125" s="188" t="s">
        <v>162</v>
      </c>
      <c r="P125" s="192"/>
      <c r="Q125" s="180">
        <v>1</v>
      </c>
      <c r="R125" s="192" t="s">
        <v>449</v>
      </c>
      <c r="S125" s="193"/>
      <c r="T125" s="193"/>
      <c r="U125" s="193">
        <v>240090909</v>
      </c>
      <c r="V125" s="193"/>
      <c r="W125" s="194"/>
      <c r="X125" s="194"/>
      <c r="Y125" s="194">
        <v>3279000</v>
      </c>
      <c r="Z125" s="194"/>
      <c r="AA125" s="194">
        <v>0</v>
      </c>
      <c r="AB125" s="194">
        <f t="shared" si="29"/>
        <v>0</v>
      </c>
      <c r="AC125" s="195">
        <f t="shared" si="30"/>
        <v>0</v>
      </c>
      <c r="AD125" s="196">
        <f t="shared" si="11"/>
        <v>0</v>
      </c>
      <c r="AE125" s="195"/>
      <c r="AF125" s="195"/>
      <c r="AG125" s="195"/>
      <c r="AH125" s="193"/>
      <c r="AI125" s="197"/>
      <c r="AJ125" s="198"/>
      <c r="AK125" s="188" t="s">
        <v>250</v>
      </c>
      <c r="AL125" s="181">
        <f>IF(E125&gt;=DATE(2026,4,1),IF(OR($AK125="Khách hàng thông thường",$AK125="Khách hàng chuyển đổi xe xăng"),IFERROR(VLOOKUP($M125,'[1]CSBH THƯỞNG XE'!$U$3:$YY$800,3,0),0),IF($AK125="Khách hàng Khối Quân đội - Công An",IFERROR(VLOOKUP($M125,'[1]CSBH THƯỞNG XE'!$U$3:$X$600,4,0),0),IF($AK125="Khách hàng Giờ trái đất",IFERROR(VLOOKUP($M125,'[1]CSBH THƯỞNG XE'!$U$3:$Y$700,5,0),0),0))),0)</f>
        <v>8000000</v>
      </c>
      <c r="AM125" s="181"/>
      <c r="AN125" s="181"/>
      <c r="AO125" s="182">
        <f t="shared" si="22"/>
        <v>8000000</v>
      </c>
      <c r="AP125" s="182">
        <f t="shared" si="27"/>
        <v>8000000</v>
      </c>
      <c r="AQ125" s="183">
        <f t="shared" si="28"/>
        <v>8000000</v>
      </c>
      <c r="AR125" s="182">
        <f t="shared" si="23"/>
        <v>0</v>
      </c>
      <c r="AS125" s="182">
        <f t="shared" si="24"/>
        <v>0</v>
      </c>
      <c r="AT125" s="182">
        <v>0</v>
      </c>
      <c r="AU125" s="182">
        <v>0</v>
      </c>
      <c r="AV125" s="194">
        <v>3279000</v>
      </c>
      <c r="AW125" s="285"/>
      <c r="AX125" s="285"/>
      <c r="AY125" s="266"/>
      <c r="AZ125" s="280"/>
      <c r="BA125" s="281" t="s">
        <v>1981</v>
      </c>
      <c r="BB125" s="282">
        <f>VLOOKUP(H125,[1]NVKD!$C$1:$M$3296,11,0)</f>
        <v>1</v>
      </c>
      <c r="BC125" s="281" t="s">
        <v>1984</v>
      </c>
      <c r="BD125" s="283" t="str">
        <f t="shared" si="25"/>
        <v>Showroom Tân An</v>
      </c>
      <c r="BF125" s="284">
        <f t="shared" si="26"/>
        <v>0.2</v>
      </c>
      <c r="BG125" s="284">
        <f>IFERROR(IF(Y125=0,0, IF(Y125 / VLOOKUP(M125,'[1]CSBH THƯỞNG XE'!$U$3:$AA$1100,7,FALSE) &lt; 0.5,0,MIN((Y125 / VLOOKUP(M125,'[1]CSBH THƯỞNG XE'!$U$3:$AA$1100,7,FALSE)) * 20%,20%))),0)</f>
        <v>0.2</v>
      </c>
      <c r="BI125" s="287"/>
    </row>
    <row r="126" spans="1:61" s="286" customFormat="1" ht="20.149999999999999" customHeight="1">
      <c r="A126" s="185">
        <v>46122</v>
      </c>
      <c r="B126" s="186">
        <f t="shared" si="19"/>
        <v>10</v>
      </c>
      <c r="C126" s="186">
        <f t="shared" si="20"/>
        <v>4</v>
      </c>
      <c r="D126" s="186">
        <f t="shared" si="21"/>
        <v>2026</v>
      </c>
      <c r="E126" s="185">
        <v>46128</v>
      </c>
      <c r="F126" s="187" t="s">
        <v>1179</v>
      </c>
      <c r="G126" s="188" t="s">
        <v>251</v>
      </c>
      <c r="H126" s="189" t="s">
        <v>101</v>
      </c>
      <c r="I126" s="189" t="s">
        <v>252</v>
      </c>
      <c r="J126" s="189" t="s">
        <v>1180</v>
      </c>
      <c r="K126" s="190"/>
      <c r="L126" s="190"/>
      <c r="M126" s="191" t="s">
        <v>55</v>
      </c>
      <c r="N126" s="191" t="s">
        <v>274</v>
      </c>
      <c r="O126" s="188" t="s">
        <v>162</v>
      </c>
      <c r="P126" s="192"/>
      <c r="Q126" s="180">
        <v>1</v>
      </c>
      <c r="R126" s="192" t="s">
        <v>453</v>
      </c>
      <c r="S126" s="193"/>
      <c r="T126" s="193"/>
      <c r="U126" s="193">
        <v>258072727</v>
      </c>
      <c r="V126" s="193"/>
      <c r="W126" s="194"/>
      <c r="X126" s="194"/>
      <c r="Y126" s="194"/>
      <c r="Z126" s="194"/>
      <c r="AA126" s="194">
        <v>0</v>
      </c>
      <c r="AB126" s="194">
        <f t="shared" si="29"/>
        <v>0</v>
      </c>
      <c r="AC126" s="195">
        <f t="shared" si="30"/>
        <v>0</v>
      </c>
      <c r="AD126" s="196">
        <f t="shared" ref="AD126:AD189" si="31">AC126</f>
        <v>0</v>
      </c>
      <c r="AE126" s="195"/>
      <c r="AF126" s="195"/>
      <c r="AG126" s="195"/>
      <c r="AH126" s="193"/>
      <c r="AI126" s="197"/>
      <c r="AJ126" s="198"/>
      <c r="AK126" s="188" t="s">
        <v>250</v>
      </c>
      <c r="AL126" s="181">
        <f>IF(E126&gt;=DATE(2026,4,1),IF(OR($AK126="Khách hàng thông thường",$AK126="Khách hàng chuyển đổi xe xăng"),IFERROR(VLOOKUP($M126,'[1]CSBH THƯỞNG XE'!$U$3:$YY$800,3,0),0),IF($AK126="Khách hàng Khối Quân đội - Công An",IFERROR(VLOOKUP($M126,'[1]CSBH THƯỞNG XE'!$U$3:$X$600,4,0),0),IF($AK126="Khách hàng Giờ trái đất",IFERROR(VLOOKUP($M126,'[1]CSBH THƯỞNG XE'!$U$3:$Y$700,5,0),0),0))),0)</f>
        <v>8000000</v>
      </c>
      <c r="AM126" s="181"/>
      <c r="AN126" s="181"/>
      <c r="AO126" s="182">
        <f t="shared" si="22"/>
        <v>4800000</v>
      </c>
      <c r="AP126" s="182">
        <f t="shared" si="27"/>
        <v>4800000</v>
      </c>
      <c r="AQ126" s="183">
        <f t="shared" si="28"/>
        <v>4800000</v>
      </c>
      <c r="AR126" s="182">
        <f t="shared" si="23"/>
        <v>0</v>
      </c>
      <c r="AS126" s="182">
        <f t="shared" si="24"/>
        <v>0</v>
      </c>
      <c r="AT126" s="182">
        <v>0</v>
      </c>
      <c r="AU126" s="182">
        <v>0</v>
      </c>
      <c r="AV126" s="199"/>
      <c r="AW126" s="285"/>
      <c r="AX126" s="285"/>
      <c r="AY126" s="266"/>
      <c r="AZ126" s="280"/>
      <c r="BA126" s="281" t="s">
        <v>1981</v>
      </c>
      <c r="BB126" s="282">
        <f>VLOOKUP(H126,[1]NVKD!$C$1:$M$3296,11,0)</f>
        <v>2</v>
      </c>
      <c r="BC126" s="281" t="s">
        <v>1982</v>
      </c>
      <c r="BD126" s="283" t="str">
        <f t="shared" si="25"/>
        <v>Showroom Tân An</v>
      </c>
      <c r="BF126" s="284">
        <f t="shared" si="26"/>
        <v>0</v>
      </c>
      <c r="BG126" s="284">
        <f>IFERROR(IF(Y126=0,0, IF(Y126 / VLOOKUP(M126,'[1]CSBH THƯỞNG XE'!$U$3:$AA$1100,7,FALSE) &lt; 0.5,0,MIN((Y126 / VLOOKUP(M126,'[1]CSBH THƯỞNG XE'!$U$3:$AA$1100,7,FALSE)) * 20%,20%))),0)</f>
        <v>0</v>
      </c>
      <c r="BI126" s="287"/>
    </row>
    <row r="127" spans="1:61" s="286" customFormat="1" ht="20.149999999999999" customHeight="1">
      <c r="A127" s="185">
        <v>46120</v>
      </c>
      <c r="B127" s="186">
        <f t="shared" si="19"/>
        <v>8</v>
      </c>
      <c r="C127" s="186">
        <f t="shared" si="20"/>
        <v>4</v>
      </c>
      <c r="D127" s="186">
        <f t="shared" si="21"/>
        <v>2026</v>
      </c>
      <c r="E127" s="185">
        <v>46128</v>
      </c>
      <c r="F127" s="187" t="s">
        <v>1181</v>
      </c>
      <c r="G127" s="188" t="s">
        <v>263</v>
      </c>
      <c r="H127" s="189" t="s">
        <v>564</v>
      </c>
      <c r="I127" s="189" t="s">
        <v>264</v>
      </c>
      <c r="J127" s="189" t="s">
        <v>565</v>
      </c>
      <c r="K127" s="190"/>
      <c r="L127" s="190"/>
      <c r="M127" s="191" t="s">
        <v>114</v>
      </c>
      <c r="N127" s="191" t="s">
        <v>248</v>
      </c>
      <c r="O127" s="188" t="s">
        <v>148</v>
      </c>
      <c r="P127" s="192"/>
      <c r="Q127" s="180">
        <v>1</v>
      </c>
      <c r="R127" s="192" t="s">
        <v>567</v>
      </c>
      <c r="S127" s="193"/>
      <c r="T127" s="193"/>
      <c r="U127" s="193">
        <v>640054545</v>
      </c>
      <c r="V127" s="193"/>
      <c r="W127" s="194">
        <v>9842759</v>
      </c>
      <c r="X127" s="194"/>
      <c r="Y127" s="194"/>
      <c r="Z127" s="194"/>
      <c r="AA127" s="194">
        <v>0</v>
      </c>
      <c r="AB127" s="194">
        <f t="shared" si="29"/>
        <v>0</v>
      </c>
      <c r="AC127" s="195">
        <f t="shared" si="30"/>
        <v>0</v>
      </c>
      <c r="AD127" s="196">
        <f t="shared" si="31"/>
        <v>0</v>
      </c>
      <c r="AE127" s="195"/>
      <c r="AF127" s="195"/>
      <c r="AG127" s="195"/>
      <c r="AH127" s="193"/>
      <c r="AI127" s="197"/>
      <c r="AJ127" s="198"/>
      <c r="AK127" s="188" t="s">
        <v>250</v>
      </c>
      <c r="AL127" s="181">
        <f>IF(E127&gt;=DATE(2026,4,1),IF(OR($AK127="Khách hàng thông thường",$AK127="Khách hàng chuyển đổi xe xăng"),IFERROR(VLOOKUP($M127,'[1]CSBH THƯỞNG XE'!$U$3:$YY$800,3,0),0),IF($AK127="Khách hàng Khối Quân đội - Công An",IFERROR(VLOOKUP($M127,'[1]CSBH THƯỞNG XE'!$U$3:$X$600,4,0),0),IF($AK127="Khách hàng Giờ trái đất",IFERROR(VLOOKUP($M127,'[1]CSBH THƯỞNG XE'!$U$3:$Y$700,5,0),0),0))),0)</f>
        <v>19000000</v>
      </c>
      <c r="AM127" s="181"/>
      <c r="AN127" s="181"/>
      <c r="AO127" s="182">
        <f t="shared" si="22"/>
        <v>15200000</v>
      </c>
      <c r="AP127" s="182">
        <f t="shared" si="27"/>
        <v>15200000</v>
      </c>
      <c r="AQ127" s="183">
        <f t="shared" si="28"/>
        <v>18200000</v>
      </c>
      <c r="AR127" s="182">
        <f t="shared" si="23"/>
        <v>0</v>
      </c>
      <c r="AS127" s="182">
        <f t="shared" si="24"/>
        <v>3000000</v>
      </c>
      <c r="AT127" s="182">
        <v>9500000</v>
      </c>
      <c r="AU127" s="182">
        <v>9842759</v>
      </c>
      <c r="AV127" s="199"/>
      <c r="AW127" s="285"/>
      <c r="AX127" s="285"/>
      <c r="AY127" s="266"/>
      <c r="AZ127" s="280"/>
      <c r="BA127" s="281" t="s">
        <v>1983</v>
      </c>
      <c r="BB127" s="282">
        <f>VLOOKUP(H127,[1]NVKD!$C$1:$M$3296,11,0)</f>
        <v>2</v>
      </c>
      <c r="BC127" s="281" t="s">
        <v>1982</v>
      </c>
      <c r="BD127" s="283" t="str">
        <f t="shared" si="25"/>
        <v>Showroom Quang Trung</v>
      </c>
      <c r="BF127" s="284">
        <f t="shared" si="26"/>
        <v>0.2</v>
      </c>
      <c r="BG127" s="284">
        <f>IFERROR(IF(Y127=0,0, IF(Y127 / VLOOKUP(M127,'[1]CSBH THƯỞNG XE'!$U$3:$AA$1100,7,FALSE) &lt; 0.5,0,MIN((Y127 / VLOOKUP(M127,'[1]CSBH THƯỞNG XE'!$U$3:$AA$1100,7,FALSE)) * 20%,20%))),0)</f>
        <v>0</v>
      </c>
      <c r="BI127" s="287"/>
    </row>
    <row r="128" spans="1:61" s="286" customFormat="1" ht="20.149999999999999" customHeight="1">
      <c r="A128" s="185">
        <v>46120</v>
      </c>
      <c r="B128" s="186">
        <f t="shared" si="19"/>
        <v>8</v>
      </c>
      <c r="C128" s="186">
        <f t="shared" si="20"/>
        <v>4</v>
      </c>
      <c r="D128" s="186">
        <f t="shared" si="21"/>
        <v>2026</v>
      </c>
      <c r="E128" s="185">
        <v>46128</v>
      </c>
      <c r="F128" s="187" t="s">
        <v>1182</v>
      </c>
      <c r="G128" s="188" t="s">
        <v>258</v>
      </c>
      <c r="H128" s="189" t="s">
        <v>198</v>
      </c>
      <c r="I128" s="189" t="s">
        <v>282</v>
      </c>
      <c r="J128" s="189" t="s">
        <v>1183</v>
      </c>
      <c r="K128" s="190"/>
      <c r="L128" s="190"/>
      <c r="M128" s="191" t="s">
        <v>257</v>
      </c>
      <c r="N128" s="191" t="s">
        <v>260</v>
      </c>
      <c r="O128" s="188" t="s">
        <v>53</v>
      </c>
      <c r="P128" s="192"/>
      <c r="Q128" s="180">
        <v>1</v>
      </c>
      <c r="R128" s="192" t="s">
        <v>546</v>
      </c>
      <c r="S128" s="193"/>
      <c r="T128" s="193"/>
      <c r="U128" s="193">
        <v>640309091</v>
      </c>
      <c r="V128" s="193"/>
      <c r="W128" s="194"/>
      <c r="X128" s="194"/>
      <c r="Y128" s="194"/>
      <c r="Z128" s="194"/>
      <c r="AA128" s="194">
        <v>0</v>
      </c>
      <c r="AB128" s="194">
        <f t="shared" si="29"/>
        <v>0</v>
      </c>
      <c r="AC128" s="195">
        <f t="shared" si="30"/>
        <v>0</v>
      </c>
      <c r="AD128" s="196">
        <f t="shared" si="31"/>
        <v>0</v>
      </c>
      <c r="AE128" s="195"/>
      <c r="AF128" s="195"/>
      <c r="AG128" s="195"/>
      <c r="AH128" s="193"/>
      <c r="AI128" s="197"/>
      <c r="AJ128" s="198"/>
      <c r="AK128" s="42" t="s">
        <v>271</v>
      </c>
      <c r="AL128" s="181">
        <f>IF(E128&gt;=DATE(2026,4,1),IF(OR($AK128="Khách hàng thông thường",$AK128="Khách hàng chuyển đổi xe xăng"),IFERROR(VLOOKUP($M128,'[1]CSBH THƯỞNG XE'!$U$3:$YY$800,3,0),0),IF($AK128="Khách hàng Khối Quân đội - Công An",IFERROR(VLOOKUP($M128,'[1]CSBH THƯỞNG XE'!$U$3:$X$600,4,0),0),IF($AK128="Khách hàng Giờ trái đất",IFERROR(VLOOKUP($M128,'[1]CSBH THƯỞNG XE'!$U$3:$Y$700,5,0),0),0))),0)</f>
        <v>10000000</v>
      </c>
      <c r="AM128" s="181"/>
      <c r="AN128" s="181"/>
      <c r="AO128" s="182">
        <f t="shared" si="22"/>
        <v>8000000</v>
      </c>
      <c r="AP128" s="182">
        <f t="shared" si="27"/>
        <v>8000000</v>
      </c>
      <c r="AQ128" s="183">
        <f t="shared" si="28"/>
        <v>8000000</v>
      </c>
      <c r="AR128" s="182">
        <f t="shared" si="23"/>
        <v>0</v>
      </c>
      <c r="AS128" s="182">
        <f t="shared" si="24"/>
        <v>0</v>
      </c>
      <c r="AT128" s="182">
        <v>0</v>
      </c>
      <c r="AU128" s="182">
        <v>0</v>
      </c>
      <c r="AV128" s="199"/>
      <c r="AW128" s="285"/>
      <c r="AX128" s="285"/>
      <c r="AY128" s="266"/>
      <c r="AZ128" s="280"/>
      <c r="BA128" s="281" t="s">
        <v>1981</v>
      </c>
      <c r="BB128" s="282">
        <f>VLOOKUP(H128,[1]NVKD!$C$1:$M$3296,11,0)</f>
        <v>1</v>
      </c>
      <c r="BC128" s="281" t="s">
        <v>1984</v>
      </c>
      <c r="BD128" s="283" t="str">
        <f t="shared" si="25"/>
        <v>Showroom 50 Nguyễn Văn Tăng</v>
      </c>
      <c r="BF128" s="284">
        <f t="shared" si="26"/>
        <v>0.2</v>
      </c>
      <c r="BG128" s="284">
        <f>IFERROR(IF(Y128=0,0, IF(Y128 / VLOOKUP(M128,'[1]CSBH THƯỞNG XE'!$U$3:$AA$1100,7,FALSE) &lt; 0.5,0,MIN((Y128 / VLOOKUP(M128,'[1]CSBH THƯỞNG XE'!$U$3:$AA$1100,7,FALSE)) * 20%,20%))),0)</f>
        <v>0</v>
      </c>
      <c r="BI128" s="287"/>
    </row>
    <row r="129" spans="1:61" s="286" customFormat="1" ht="20.149999999999999" customHeight="1">
      <c r="A129" s="185">
        <v>46125</v>
      </c>
      <c r="B129" s="186">
        <f t="shared" si="19"/>
        <v>13</v>
      </c>
      <c r="C129" s="186">
        <f t="shared" si="20"/>
        <v>4</v>
      </c>
      <c r="D129" s="186">
        <f t="shared" si="21"/>
        <v>2026</v>
      </c>
      <c r="E129" s="185">
        <v>46129</v>
      </c>
      <c r="F129" s="187" t="s">
        <v>1184</v>
      </c>
      <c r="G129" s="188" t="s">
        <v>254</v>
      </c>
      <c r="H129" s="189" t="s">
        <v>466</v>
      </c>
      <c r="I129" s="189"/>
      <c r="J129" s="189" t="s">
        <v>467</v>
      </c>
      <c r="K129" s="190"/>
      <c r="L129" s="190"/>
      <c r="M129" s="191" t="s">
        <v>1034</v>
      </c>
      <c r="N129" s="191" t="s">
        <v>255</v>
      </c>
      <c r="O129" s="188" t="s">
        <v>469</v>
      </c>
      <c r="P129" s="192"/>
      <c r="Q129" s="180">
        <v>1</v>
      </c>
      <c r="R129" s="192" t="s">
        <v>470</v>
      </c>
      <c r="S129" s="193"/>
      <c r="T129" s="193"/>
      <c r="U129" s="193">
        <v>601945455</v>
      </c>
      <c r="V129" s="193"/>
      <c r="W129" s="194"/>
      <c r="X129" s="194"/>
      <c r="Y129" s="194"/>
      <c r="Z129" s="194"/>
      <c r="AA129" s="194">
        <v>5000000</v>
      </c>
      <c r="AB129" s="194">
        <f t="shared" si="29"/>
        <v>5000000</v>
      </c>
      <c r="AC129" s="195">
        <f t="shared" si="30"/>
        <v>5000000</v>
      </c>
      <c r="AD129" s="196">
        <f t="shared" si="31"/>
        <v>5000000</v>
      </c>
      <c r="AE129" s="195"/>
      <c r="AF129" s="195"/>
      <c r="AG129" s="195"/>
      <c r="AH129" s="193"/>
      <c r="AI129" s="197"/>
      <c r="AJ129" s="198"/>
      <c r="AK129" s="42" t="s">
        <v>271</v>
      </c>
      <c r="AL129" s="181">
        <f>IF(E129&gt;=DATE(2026,4,1),IF(OR($AK129="Khách hàng thông thường",$AK129="Khách hàng chuyển đổi xe xăng"),IFERROR(VLOOKUP($M129,'[1]CSBH THƯỞNG XE'!$U$3:$YY$800,3,0),0),IF($AK129="Khách hàng Khối Quân đội - Công An",IFERROR(VLOOKUP($M129,'[1]CSBH THƯỞNG XE'!$U$3:$X$600,4,0),0),IF($AK129="Khách hàng Giờ trái đất",IFERROR(VLOOKUP($M129,'[1]CSBH THƯỞNG XE'!$U$3:$Y$700,5,0),0),0))),0)</f>
        <v>14000000</v>
      </c>
      <c r="AM129" s="181"/>
      <c r="AN129" s="181"/>
      <c r="AO129" s="182">
        <f t="shared" si="22"/>
        <v>7200000</v>
      </c>
      <c r="AP129" s="182">
        <f t="shared" si="27"/>
        <v>7200000</v>
      </c>
      <c r="AQ129" s="183">
        <f t="shared" si="28"/>
        <v>7200000</v>
      </c>
      <c r="AR129" s="182">
        <f t="shared" si="23"/>
        <v>0</v>
      </c>
      <c r="AS129" s="182">
        <f t="shared" si="24"/>
        <v>0</v>
      </c>
      <c r="AT129" s="182">
        <v>10000000</v>
      </c>
      <c r="AU129" s="182">
        <v>0</v>
      </c>
      <c r="AV129" s="199"/>
      <c r="AW129" s="285"/>
      <c r="AX129" s="285"/>
      <c r="AY129" s="266"/>
      <c r="AZ129" s="280"/>
      <c r="BA129" s="281">
        <v>0</v>
      </c>
      <c r="BB129" s="282">
        <f>VLOOKUP(H129,[1]NVKD!$C$1:$M$3296,11,0)</f>
        <v>4</v>
      </c>
      <c r="BC129" s="281" t="s">
        <v>1984</v>
      </c>
      <c r="BD129" s="283" t="str">
        <f t="shared" si="25"/>
        <v>Showroom Sala</v>
      </c>
      <c r="BF129" s="284">
        <f t="shared" si="26"/>
        <v>0.2</v>
      </c>
      <c r="BG129" s="284">
        <f>IFERROR(IF(Y129=0,0, IF(Y129 / VLOOKUP(M129,'[1]CSBH THƯỞNG XE'!$U$3:$AA$1100,7,FALSE) &lt; 0.5,0,MIN((Y129 / VLOOKUP(M129,'[1]CSBH THƯỞNG XE'!$U$3:$AA$1100,7,FALSE)) * 20%,20%))),0)</f>
        <v>0</v>
      </c>
      <c r="BI129" s="287"/>
    </row>
    <row r="130" spans="1:61" s="286" customFormat="1" ht="20.149999999999999" customHeight="1">
      <c r="A130" s="185">
        <v>46126</v>
      </c>
      <c r="B130" s="186">
        <f t="shared" si="19"/>
        <v>14</v>
      </c>
      <c r="C130" s="186">
        <f t="shared" si="20"/>
        <v>4</v>
      </c>
      <c r="D130" s="186">
        <f t="shared" si="21"/>
        <v>2026</v>
      </c>
      <c r="E130" s="185">
        <v>46129</v>
      </c>
      <c r="F130" s="187" t="s">
        <v>1185</v>
      </c>
      <c r="G130" s="188" t="s">
        <v>263</v>
      </c>
      <c r="H130" s="189" t="s">
        <v>151</v>
      </c>
      <c r="I130" s="189" t="s">
        <v>264</v>
      </c>
      <c r="J130" s="189" t="s">
        <v>571</v>
      </c>
      <c r="K130" s="190"/>
      <c r="L130" s="190"/>
      <c r="M130" s="191" t="s">
        <v>257</v>
      </c>
      <c r="N130" s="191" t="s">
        <v>255</v>
      </c>
      <c r="O130" s="188" t="s">
        <v>168</v>
      </c>
      <c r="P130" s="192"/>
      <c r="Q130" s="180">
        <v>1</v>
      </c>
      <c r="R130" s="192" t="s">
        <v>573</v>
      </c>
      <c r="S130" s="193"/>
      <c r="T130" s="193"/>
      <c r="U130" s="193">
        <v>686236364</v>
      </c>
      <c r="V130" s="193"/>
      <c r="W130" s="194"/>
      <c r="X130" s="194"/>
      <c r="Y130" s="194"/>
      <c r="Z130" s="194"/>
      <c r="AA130" s="194">
        <v>15000000</v>
      </c>
      <c r="AB130" s="194">
        <f t="shared" si="29"/>
        <v>15000000</v>
      </c>
      <c r="AC130" s="195">
        <f t="shared" si="30"/>
        <v>15000000</v>
      </c>
      <c r="AD130" s="196">
        <f t="shared" si="31"/>
        <v>15000000</v>
      </c>
      <c r="AE130" s="195"/>
      <c r="AF130" s="195"/>
      <c r="AG130" s="195"/>
      <c r="AH130" s="193"/>
      <c r="AI130" s="197"/>
      <c r="AJ130" s="198"/>
      <c r="AK130" s="188" t="s">
        <v>250</v>
      </c>
      <c r="AL130" s="181">
        <f>IF(E130&gt;=DATE(2026,4,1),IF(OR($AK130="Khách hàng thông thường",$AK130="Khách hàng chuyển đổi xe xăng"),IFERROR(VLOOKUP($M130,'[1]CSBH THƯỞNG XE'!$U$3:$YY$800,3,0),0),IF($AK130="Khách hàng Khối Quân đội - Công An",IFERROR(VLOOKUP($M130,'[1]CSBH THƯỞNG XE'!$U$3:$X$600,4,0),0),IF($AK130="Khách hàng Giờ trái đất",IFERROR(VLOOKUP($M130,'[1]CSBH THƯỞNG XE'!$U$3:$Y$700,5,0),0),0))),0)</f>
        <v>20000000</v>
      </c>
      <c r="AM130" s="181"/>
      <c r="AN130" s="181"/>
      <c r="AO130" s="182">
        <f t="shared" si="22"/>
        <v>3000000</v>
      </c>
      <c r="AP130" s="182">
        <f t="shared" si="27"/>
        <v>3000000</v>
      </c>
      <c r="AQ130" s="183">
        <f t="shared" si="28"/>
        <v>3000000</v>
      </c>
      <c r="AR130" s="182">
        <f t="shared" si="23"/>
        <v>0</v>
      </c>
      <c r="AS130" s="182">
        <f t="shared" si="24"/>
        <v>0</v>
      </c>
      <c r="AT130" s="182">
        <v>3000000</v>
      </c>
      <c r="AU130" s="182">
        <v>0</v>
      </c>
      <c r="AV130" s="199"/>
      <c r="AW130" s="285"/>
      <c r="AX130" s="285"/>
      <c r="AY130" s="266"/>
      <c r="AZ130" s="280"/>
      <c r="BA130" s="281" t="s">
        <v>1981</v>
      </c>
      <c r="BB130" s="282">
        <f>VLOOKUP(H130,[1]NVKD!$C$1:$M$3296,11,0)</f>
        <v>5</v>
      </c>
      <c r="BC130" s="281" t="s">
        <v>1982</v>
      </c>
      <c r="BD130" s="283" t="str">
        <f t="shared" si="25"/>
        <v>Showroom Quang Trung</v>
      </c>
      <c r="BF130" s="284">
        <f t="shared" si="26"/>
        <v>0</v>
      </c>
      <c r="BG130" s="284">
        <f>IFERROR(IF(Y130=0,0, IF(Y130 / VLOOKUP(M130,'[1]CSBH THƯỞNG XE'!$U$3:$AA$1100,7,FALSE) &lt; 0.5,0,MIN((Y130 / VLOOKUP(M130,'[1]CSBH THƯỞNG XE'!$U$3:$AA$1100,7,FALSE)) * 20%,20%))),0)</f>
        <v>0</v>
      </c>
      <c r="BI130" s="287"/>
    </row>
    <row r="131" spans="1:61" s="286" customFormat="1" ht="20.149999999999999" customHeight="1">
      <c r="A131" s="185">
        <v>46126</v>
      </c>
      <c r="B131" s="186">
        <f t="shared" si="19"/>
        <v>14</v>
      </c>
      <c r="C131" s="186">
        <f t="shared" si="20"/>
        <v>4</v>
      </c>
      <c r="D131" s="186">
        <f t="shared" si="21"/>
        <v>2026</v>
      </c>
      <c r="E131" s="185">
        <v>46129</v>
      </c>
      <c r="F131" s="187" t="s">
        <v>1186</v>
      </c>
      <c r="G131" s="188" t="s">
        <v>251</v>
      </c>
      <c r="H131" s="189" t="s">
        <v>156</v>
      </c>
      <c r="I131" s="189" t="s">
        <v>252</v>
      </c>
      <c r="J131" s="189" t="s">
        <v>550</v>
      </c>
      <c r="K131" s="190"/>
      <c r="L131" s="190"/>
      <c r="M131" s="191" t="s">
        <v>55</v>
      </c>
      <c r="N131" s="191" t="s">
        <v>253</v>
      </c>
      <c r="O131" s="188" t="s">
        <v>162</v>
      </c>
      <c r="P131" s="192"/>
      <c r="Q131" s="180">
        <v>1</v>
      </c>
      <c r="R131" s="192" t="s">
        <v>552</v>
      </c>
      <c r="S131" s="193"/>
      <c r="T131" s="193"/>
      <c r="U131" s="193">
        <v>240090909</v>
      </c>
      <c r="V131" s="193"/>
      <c r="W131" s="194"/>
      <c r="X131" s="194"/>
      <c r="Y131" s="194"/>
      <c r="Z131" s="194"/>
      <c r="AA131" s="194">
        <v>0</v>
      </c>
      <c r="AB131" s="194">
        <f t="shared" si="29"/>
        <v>0</v>
      </c>
      <c r="AC131" s="195">
        <f t="shared" si="30"/>
        <v>0</v>
      </c>
      <c r="AD131" s="196">
        <f t="shared" si="31"/>
        <v>0</v>
      </c>
      <c r="AE131" s="195"/>
      <c r="AF131" s="195"/>
      <c r="AG131" s="195"/>
      <c r="AH131" s="193"/>
      <c r="AI131" s="197"/>
      <c r="AJ131" s="198"/>
      <c r="AK131" s="188" t="s">
        <v>250</v>
      </c>
      <c r="AL131" s="181">
        <f>IF(E131&gt;=DATE(2026,4,1),IF(OR($AK131="Khách hàng thông thường",$AK131="Khách hàng chuyển đổi xe xăng"),IFERROR(VLOOKUP($M131,'[1]CSBH THƯỞNG XE'!$U$3:$YY$800,3,0),0),IF($AK131="Khách hàng Khối Quân đội - Công An",IFERROR(VLOOKUP($M131,'[1]CSBH THƯỞNG XE'!$U$3:$X$600,4,0),0),IF($AK131="Khách hàng Giờ trái đất",IFERROR(VLOOKUP($M131,'[1]CSBH THƯỞNG XE'!$U$3:$Y$700,5,0),0),0))),0)</f>
        <v>8000000</v>
      </c>
      <c r="AM131" s="181"/>
      <c r="AN131" s="181"/>
      <c r="AO131" s="182">
        <f t="shared" si="22"/>
        <v>6400000</v>
      </c>
      <c r="AP131" s="182">
        <f t="shared" si="27"/>
        <v>6400000</v>
      </c>
      <c r="AQ131" s="183">
        <f t="shared" si="28"/>
        <v>6400000</v>
      </c>
      <c r="AR131" s="182">
        <f t="shared" si="23"/>
        <v>0</v>
      </c>
      <c r="AS131" s="182">
        <f t="shared" si="24"/>
        <v>0</v>
      </c>
      <c r="AT131" s="182">
        <v>0</v>
      </c>
      <c r="AU131" s="182">
        <v>0</v>
      </c>
      <c r="AV131" s="199"/>
      <c r="AW131" s="285"/>
      <c r="AX131" s="285"/>
      <c r="AY131" s="266"/>
      <c r="AZ131" s="280"/>
      <c r="BA131" s="281" t="s">
        <v>1981</v>
      </c>
      <c r="BB131" s="282">
        <f>VLOOKUP(H131,[1]NVKD!$C$1:$M$3296,11,0)</f>
        <v>3</v>
      </c>
      <c r="BC131" s="281" t="s">
        <v>1984</v>
      </c>
      <c r="BD131" s="283" t="str">
        <f t="shared" si="25"/>
        <v>Showroom Tân An</v>
      </c>
      <c r="BF131" s="284">
        <f t="shared" si="26"/>
        <v>0.2</v>
      </c>
      <c r="BG131" s="284">
        <f>IFERROR(IF(Y131=0,0, IF(Y131 / VLOOKUP(M131,'[1]CSBH THƯỞNG XE'!$U$3:$AA$1100,7,FALSE) &lt; 0.5,0,MIN((Y131 / VLOOKUP(M131,'[1]CSBH THƯỞNG XE'!$U$3:$AA$1100,7,FALSE)) * 20%,20%))),0)</f>
        <v>0</v>
      </c>
      <c r="BI131" s="287"/>
    </row>
    <row r="132" spans="1:61" s="286" customFormat="1" ht="20.149999999999999" customHeight="1">
      <c r="A132" s="185">
        <v>46126</v>
      </c>
      <c r="B132" s="186">
        <f t="shared" si="19"/>
        <v>14</v>
      </c>
      <c r="C132" s="186">
        <f t="shared" si="20"/>
        <v>4</v>
      </c>
      <c r="D132" s="186">
        <f t="shared" si="21"/>
        <v>2026</v>
      </c>
      <c r="E132" s="185">
        <v>46129</v>
      </c>
      <c r="F132" s="187" t="s">
        <v>1187</v>
      </c>
      <c r="G132" s="188" t="s">
        <v>254</v>
      </c>
      <c r="H132" s="189" t="s">
        <v>147</v>
      </c>
      <c r="I132" s="189"/>
      <c r="J132" s="189" t="s">
        <v>553</v>
      </c>
      <c r="K132" s="190"/>
      <c r="L132" s="190"/>
      <c r="M132" s="191" t="s">
        <v>56</v>
      </c>
      <c r="N132" s="191" t="s">
        <v>255</v>
      </c>
      <c r="O132" s="188" t="s">
        <v>105</v>
      </c>
      <c r="P132" s="192"/>
      <c r="Q132" s="180">
        <v>1</v>
      </c>
      <c r="R132" s="192" t="s">
        <v>555</v>
      </c>
      <c r="S132" s="193"/>
      <c r="T132" s="193"/>
      <c r="U132" s="193">
        <v>263727273</v>
      </c>
      <c r="V132" s="193"/>
      <c r="W132" s="194"/>
      <c r="X132" s="194"/>
      <c r="Y132" s="194"/>
      <c r="Z132" s="194"/>
      <c r="AA132" s="194">
        <v>6000000</v>
      </c>
      <c r="AB132" s="194">
        <f t="shared" si="29"/>
        <v>6000000</v>
      </c>
      <c r="AC132" s="195">
        <f t="shared" si="30"/>
        <v>6000000</v>
      </c>
      <c r="AD132" s="196">
        <f t="shared" si="31"/>
        <v>6000000</v>
      </c>
      <c r="AE132" s="195"/>
      <c r="AF132" s="195"/>
      <c r="AG132" s="195"/>
      <c r="AH132" s="193"/>
      <c r="AI132" s="197"/>
      <c r="AJ132" s="198"/>
      <c r="AK132" s="188" t="s">
        <v>250</v>
      </c>
      <c r="AL132" s="181">
        <f>IF(E132&gt;=DATE(2026,4,1),IF(OR($AK132="Khách hàng thông thường",$AK132="Khách hàng chuyển đổi xe xăng"),IFERROR(VLOOKUP($M132,'[1]CSBH THƯỞNG XE'!$U$3:$YY$800,3,0),0),IF($AK132="Khách hàng Khối Quân đội - Công An",IFERROR(VLOOKUP($M132,'[1]CSBH THƯỞNG XE'!$U$3:$X$600,4,0),0),IF($AK132="Khách hàng Giờ trái đất",IFERROR(VLOOKUP($M132,'[1]CSBH THƯỞNG XE'!$U$3:$Y$700,5,0),0),0))),0)</f>
        <v>8500000</v>
      </c>
      <c r="AM132" s="181"/>
      <c r="AN132" s="181"/>
      <c r="AO132" s="182">
        <f t="shared" si="22"/>
        <v>2000000</v>
      </c>
      <c r="AP132" s="182">
        <f t="shared" si="27"/>
        <v>2000000</v>
      </c>
      <c r="AQ132" s="183">
        <f t="shared" si="28"/>
        <v>2000000</v>
      </c>
      <c r="AR132" s="182">
        <f t="shared" si="23"/>
        <v>0</v>
      </c>
      <c r="AS132" s="182">
        <f t="shared" si="24"/>
        <v>0</v>
      </c>
      <c r="AT132" s="182">
        <v>1000000</v>
      </c>
      <c r="AU132" s="182">
        <v>0</v>
      </c>
      <c r="AV132" s="199"/>
      <c r="AW132" s="285"/>
      <c r="AX132" s="285"/>
      <c r="AY132" s="266"/>
      <c r="AZ132" s="280"/>
      <c r="BA132" s="281">
        <v>0</v>
      </c>
      <c r="BB132" s="282">
        <f>VLOOKUP(H132,[1]NVKD!$C$1:$M$3296,11,0)</f>
        <v>2</v>
      </c>
      <c r="BC132" s="281" t="s">
        <v>1984</v>
      </c>
      <c r="BD132" s="283" t="str">
        <f t="shared" si="25"/>
        <v>Showroom Sala</v>
      </c>
      <c r="BF132" s="284">
        <f t="shared" si="26"/>
        <v>0.2</v>
      </c>
      <c r="BG132" s="284">
        <f>IFERROR(IF(Y132=0,0, IF(Y132 / VLOOKUP(M132,'[1]CSBH THƯỞNG XE'!$U$3:$AA$1100,7,FALSE) &lt; 0.5,0,MIN((Y132 / VLOOKUP(M132,'[1]CSBH THƯỞNG XE'!$U$3:$AA$1100,7,FALSE)) * 20%,20%))),0)</f>
        <v>0</v>
      </c>
      <c r="BI132" s="287"/>
    </row>
    <row r="133" spans="1:61" s="286" customFormat="1" ht="20.149999999999999" customHeight="1">
      <c r="A133" s="185">
        <v>46129</v>
      </c>
      <c r="B133" s="186">
        <f t="shared" si="19"/>
        <v>17</v>
      </c>
      <c r="C133" s="186">
        <f t="shared" si="20"/>
        <v>4</v>
      </c>
      <c r="D133" s="186">
        <f t="shared" si="21"/>
        <v>2026</v>
      </c>
      <c r="E133" s="185">
        <v>46130</v>
      </c>
      <c r="F133" s="187" t="s">
        <v>1188</v>
      </c>
      <c r="G133" s="188" t="s">
        <v>258</v>
      </c>
      <c r="H133" s="189" t="s">
        <v>143</v>
      </c>
      <c r="I133" s="189" t="s">
        <v>261</v>
      </c>
      <c r="J133" s="189" t="s">
        <v>1189</v>
      </c>
      <c r="K133" s="190"/>
      <c r="L133" s="190"/>
      <c r="M133" s="191" t="s">
        <v>280</v>
      </c>
      <c r="N133" s="191" t="s">
        <v>281</v>
      </c>
      <c r="O133" s="188" t="s">
        <v>191</v>
      </c>
      <c r="P133" s="192"/>
      <c r="Q133" s="180">
        <v>1</v>
      </c>
      <c r="R133" s="192" t="s">
        <v>593</v>
      </c>
      <c r="S133" s="193"/>
      <c r="T133" s="193"/>
      <c r="U133" s="193">
        <v>563936364</v>
      </c>
      <c r="V133" s="193"/>
      <c r="W133" s="194">
        <v>8684620</v>
      </c>
      <c r="X133" s="194"/>
      <c r="Y133" s="194"/>
      <c r="Z133" s="194"/>
      <c r="AA133" s="194">
        <v>0</v>
      </c>
      <c r="AB133" s="194">
        <f t="shared" si="29"/>
        <v>0</v>
      </c>
      <c r="AC133" s="195">
        <f t="shared" si="30"/>
        <v>0</v>
      </c>
      <c r="AD133" s="196">
        <f t="shared" si="31"/>
        <v>0</v>
      </c>
      <c r="AE133" s="195"/>
      <c r="AF133" s="195"/>
      <c r="AG133" s="195"/>
      <c r="AH133" s="193"/>
      <c r="AI133" s="197"/>
      <c r="AJ133" s="198"/>
      <c r="AK133" s="42" t="s">
        <v>271</v>
      </c>
      <c r="AL133" s="181">
        <f>IF(E133&gt;=DATE(2026,4,1),IF(OR($AK133="Khách hàng thông thường",$AK133="Khách hàng chuyển đổi xe xăng"),IFERROR(VLOOKUP($M133,'[1]CSBH THƯỞNG XE'!$U$3:$YY$800,3,0),0),IF($AK133="Khách hàng Khối Quân đội - Công An",IFERROR(VLOOKUP($M133,'[1]CSBH THƯỞNG XE'!$U$3:$X$600,4,0),0),IF($AK133="Khách hàng Giờ trái đất",IFERROR(VLOOKUP($M133,'[1]CSBH THƯỞNG XE'!$U$3:$Y$700,5,0),0),0))),0)</f>
        <v>10000000</v>
      </c>
      <c r="AM133" s="181"/>
      <c r="AN133" s="181"/>
      <c r="AO133" s="182">
        <f t="shared" si="22"/>
        <v>8000000</v>
      </c>
      <c r="AP133" s="182">
        <f t="shared" si="27"/>
        <v>8000000</v>
      </c>
      <c r="AQ133" s="183">
        <f t="shared" si="28"/>
        <v>8000000</v>
      </c>
      <c r="AR133" s="182">
        <f t="shared" si="23"/>
        <v>0</v>
      </c>
      <c r="AS133" s="182">
        <f t="shared" si="24"/>
        <v>0</v>
      </c>
      <c r="AT133" s="182">
        <v>0</v>
      </c>
      <c r="AU133" s="182">
        <v>8684620</v>
      </c>
      <c r="AV133" s="199"/>
      <c r="AW133" s="285"/>
      <c r="AX133" s="285"/>
      <c r="AY133" s="266"/>
      <c r="AZ133" s="280"/>
      <c r="BA133" s="281" t="s">
        <v>1983</v>
      </c>
      <c r="BB133" s="282">
        <f>VLOOKUP(H133,[1]NVKD!$C$1:$M$3296,11,0)</f>
        <v>2</v>
      </c>
      <c r="BC133" s="281" t="s">
        <v>1982</v>
      </c>
      <c r="BD133" s="283" t="str">
        <f t="shared" si="25"/>
        <v>Showroom 50 Nguyễn Văn Tăng</v>
      </c>
      <c r="BF133" s="284">
        <f t="shared" si="26"/>
        <v>0.2</v>
      </c>
      <c r="BG133" s="284">
        <f>IFERROR(IF(Y133=0,0, IF(Y133 / VLOOKUP(M133,'[1]CSBH THƯỞNG XE'!$U$3:$AA$1100,7,FALSE) &lt; 0.5,0,MIN((Y133 / VLOOKUP(M133,'[1]CSBH THƯỞNG XE'!$U$3:$AA$1100,7,FALSE)) * 20%,20%))),0)</f>
        <v>0</v>
      </c>
      <c r="BI133" s="287"/>
    </row>
    <row r="134" spans="1:61" s="286" customFormat="1" ht="20.149999999999999" customHeight="1">
      <c r="A134" s="185">
        <v>46127</v>
      </c>
      <c r="B134" s="186">
        <f t="shared" si="19"/>
        <v>15</v>
      </c>
      <c r="C134" s="186">
        <f t="shared" si="20"/>
        <v>4</v>
      </c>
      <c r="D134" s="186">
        <f t="shared" si="21"/>
        <v>2026</v>
      </c>
      <c r="E134" s="185">
        <v>46130</v>
      </c>
      <c r="F134" s="187" t="s">
        <v>1190</v>
      </c>
      <c r="G134" s="188" t="s">
        <v>258</v>
      </c>
      <c r="H134" s="189" t="s">
        <v>188</v>
      </c>
      <c r="I134" s="189" t="s">
        <v>259</v>
      </c>
      <c r="J134" s="189" t="s">
        <v>1191</v>
      </c>
      <c r="K134" s="190"/>
      <c r="L134" s="190"/>
      <c r="M134" s="191" t="s">
        <v>56</v>
      </c>
      <c r="N134" s="191" t="s">
        <v>285</v>
      </c>
      <c r="O134" s="188" t="s">
        <v>140</v>
      </c>
      <c r="P134" s="192"/>
      <c r="Q134" s="180">
        <v>1</v>
      </c>
      <c r="R134" s="192" t="s">
        <v>596</v>
      </c>
      <c r="S134" s="193"/>
      <c r="T134" s="193"/>
      <c r="U134" s="193">
        <v>276018182</v>
      </c>
      <c r="V134" s="193"/>
      <c r="W134" s="194"/>
      <c r="X134" s="194"/>
      <c r="Y134" s="194"/>
      <c r="Z134" s="194"/>
      <c r="AA134" s="194">
        <v>0</v>
      </c>
      <c r="AB134" s="194">
        <f t="shared" si="29"/>
        <v>0</v>
      </c>
      <c r="AC134" s="195">
        <f t="shared" si="30"/>
        <v>0</v>
      </c>
      <c r="AD134" s="196">
        <f t="shared" si="31"/>
        <v>0</v>
      </c>
      <c r="AE134" s="195"/>
      <c r="AF134" s="195"/>
      <c r="AG134" s="195"/>
      <c r="AH134" s="193"/>
      <c r="AI134" s="197"/>
      <c r="AJ134" s="198"/>
      <c r="AK134" s="188" t="s">
        <v>250</v>
      </c>
      <c r="AL134" s="181">
        <f>IF(E134&gt;=DATE(2026,4,1),IF(OR($AK134="Khách hàng thông thường",$AK134="Khách hàng chuyển đổi xe xăng"),IFERROR(VLOOKUP($M134,'[1]CSBH THƯỞNG XE'!$U$3:$YY$800,3,0),0),IF($AK134="Khách hàng Khối Quân đội - Công An",IFERROR(VLOOKUP($M134,'[1]CSBH THƯỞNG XE'!$U$3:$X$600,4,0),0),IF($AK134="Khách hàng Giờ trái đất",IFERROR(VLOOKUP($M134,'[1]CSBH THƯỞNG XE'!$U$3:$Y$700,5,0),0),0))),0)</f>
        <v>8500000</v>
      </c>
      <c r="AM134" s="181"/>
      <c r="AN134" s="181"/>
      <c r="AO134" s="182">
        <f t="shared" si="22"/>
        <v>5100000</v>
      </c>
      <c r="AP134" s="182">
        <f t="shared" si="27"/>
        <v>5100000</v>
      </c>
      <c r="AQ134" s="183">
        <f t="shared" si="28"/>
        <v>5100000</v>
      </c>
      <c r="AR134" s="182">
        <f t="shared" si="23"/>
        <v>0</v>
      </c>
      <c r="AS134" s="182">
        <f t="shared" si="24"/>
        <v>0</v>
      </c>
      <c r="AT134" s="182">
        <v>0</v>
      </c>
      <c r="AU134" s="182">
        <v>0</v>
      </c>
      <c r="AV134" s="199"/>
      <c r="AW134" s="285"/>
      <c r="AX134" s="285"/>
      <c r="AY134" s="266"/>
      <c r="AZ134" s="280"/>
      <c r="BA134" s="281" t="s">
        <v>1981</v>
      </c>
      <c r="BB134" s="282">
        <f>VLOOKUP(H134,[1]NVKD!$C$1:$M$3296,11,0)</f>
        <v>6</v>
      </c>
      <c r="BC134" s="281" t="s">
        <v>1982</v>
      </c>
      <c r="BD134" s="283" t="str">
        <f t="shared" si="25"/>
        <v>Showroom 50 Nguyễn Văn Tăng</v>
      </c>
      <c r="BF134" s="284">
        <f t="shared" si="26"/>
        <v>0</v>
      </c>
      <c r="BG134" s="284">
        <f>IFERROR(IF(Y134=0,0, IF(Y134 / VLOOKUP(M134,'[1]CSBH THƯỞNG XE'!$U$3:$AA$1100,7,FALSE) &lt; 0.5,0,MIN((Y134 / VLOOKUP(M134,'[1]CSBH THƯỞNG XE'!$U$3:$AA$1100,7,FALSE)) * 20%,20%))),0)</f>
        <v>0</v>
      </c>
      <c r="BI134" s="287"/>
    </row>
    <row r="135" spans="1:61" s="286" customFormat="1" ht="20.149999999999999" customHeight="1">
      <c r="A135" s="185">
        <v>46119</v>
      </c>
      <c r="B135" s="186">
        <f t="shared" si="19"/>
        <v>7</v>
      </c>
      <c r="C135" s="186">
        <f t="shared" si="20"/>
        <v>4</v>
      </c>
      <c r="D135" s="186">
        <f t="shared" si="21"/>
        <v>2026</v>
      </c>
      <c r="E135" s="185">
        <v>46130</v>
      </c>
      <c r="F135" s="187" t="s">
        <v>1192</v>
      </c>
      <c r="G135" s="188" t="s">
        <v>258</v>
      </c>
      <c r="H135" s="189" t="s">
        <v>194</v>
      </c>
      <c r="I135" s="189" t="s">
        <v>259</v>
      </c>
      <c r="J135" s="189" t="s">
        <v>1193</v>
      </c>
      <c r="K135" s="190"/>
      <c r="L135" s="190"/>
      <c r="M135" s="191" t="s">
        <v>55</v>
      </c>
      <c r="N135" s="191" t="s">
        <v>285</v>
      </c>
      <c r="O135" s="188" t="s">
        <v>191</v>
      </c>
      <c r="P135" s="192"/>
      <c r="Q135" s="180">
        <v>1</v>
      </c>
      <c r="R135" s="192" t="s">
        <v>602</v>
      </c>
      <c r="S135" s="193"/>
      <c r="T135" s="193"/>
      <c r="U135" s="193">
        <v>248545455</v>
      </c>
      <c r="V135" s="193"/>
      <c r="W135" s="194"/>
      <c r="X135" s="194"/>
      <c r="Y135" s="194">
        <v>3157656</v>
      </c>
      <c r="Z135" s="194"/>
      <c r="AA135" s="194">
        <v>0</v>
      </c>
      <c r="AB135" s="194">
        <f t="shared" si="29"/>
        <v>0</v>
      </c>
      <c r="AC135" s="195">
        <f t="shared" si="30"/>
        <v>0</v>
      </c>
      <c r="AD135" s="196">
        <f t="shared" si="31"/>
        <v>0</v>
      </c>
      <c r="AE135" s="195"/>
      <c r="AF135" s="195"/>
      <c r="AG135" s="195"/>
      <c r="AH135" s="193"/>
      <c r="AI135" s="197"/>
      <c r="AJ135" s="198"/>
      <c r="AK135" s="188" t="s">
        <v>250</v>
      </c>
      <c r="AL135" s="181">
        <f>IF(E135&gt;=DATE(2026,4,1),IF(OR($AK135="Khách hàng thông thường",$AK135="Khách hàng chuyển đổi xe xăng"),IFERROR(VLOOKUP($M135,'[1]CSBH THƯỞNG XE'!$U$3:$YY$800,3,0),0),IF($AK135="Khách hàng Khối Quân đội - Công An",IFERROR(VLOOKUP($M135,'[1]CSBH THƯỞNG XE'!$U$3:$X$600,4,0),0),IF($AK135="Khách hàng Giờ trái đất",IFERROR(VLOOKUP($M135,'[1]CSBH THƯỞNG XE'!$U$3:$Y$700,5,0),0),0))),0)</f>
        <v>8000000</v>
      </c>
      <c r="AM135" s="181"/>
      <c r="AN135" s="181"/>
      <c r="AO135" s="182">
        <f t="shared" si="22"/>
        <v>6340789.752973468</v>
      </c>
      <c r="AP135" s="182">
        <f t="shared" si="27"/>
        <v>6340789.752973468</v>
      </c>
      <c r="AQ135" s="183">
        <f t="shared" si="28"/>
        <v>6340789.752973468</v>
      </c>
      <c r="AR135" s="182">
        <f t="shared" si="23"/>
        <v>0</v>
      </c>
      <c r="AS135" s="182">
        <f t="shared" si="24"/>
        <v>0</v>
      </c>
      <c r="AT135" s="182">
        <v>0</v>
      </c>
      <c r="AU135" s="182">
        <v>0</v>
      </c>
      <c r="AV135" s="194"/>
      <c r="AW135" s="285"/>
      <c r="AX135" s="285"/>
      <c r="AY135" s="266"/>
      <c r="AZ135" s="280"/>
      <c r="BA135" s="281" t="s">
        <v>1981</v>
      </c>
      <c r="BB135" s="282">
        <f>VLOOKUP(H135,[1]NVKD!$C$1:$M$3296,11,0)</f>
        <v>6</v>
      </c>
      <c r="BC135" s="281" t="s">
        <v>1982</v>
      </c>
      <c r="BD135" s="283" t="str">
        <f t="shared" si="25"/>
        <v>Showroom 50 Nguyễn Văn Tăng</v>
      </c>
      <c r="BF135" s="284">
        <f t="shared" si="26"/>
        <v>0</v>
      </c>
      <c r="BG135" s="284">
        <f>IFERROR(IF(Y135=0,0, IF(Y135 / VLOOKUP(M135,'[1]CSBH THƯỞNG XE'!$U$3:$AA$1100,7,FALSE) &lt; 0.5,0,MIN((Y135 / VLOOKUP(M135,'[1]CSBH THƯỞNG XE'!$U$3:$AA$1100,7,FALSE)) * 20%,20%))),0)</f>
        <v>0.19259871912168347</v>
      </c>
      <c r="BI135" s="287"/>
    </row>
    <row r="136" spans="1:61" s="286" customFormat="1" ht="20.149999999999999" customHeight="1">
      <c r="A136" s="185">
        <v>46119</v>
      </c>
      <c r="B136" s="186">
        <f t="shared" ref="B136:B199" si="32">DAY(A136)</f>
        <v>7</v>
      </c>
      <c r="C136" s="186">
        <f t="shared" ref="C136:C199" si="33">MONTH(A136)</f>
        <v>4</v>
      </c>
      <c r="D136" s="186">
        <f t="shared" ref="D136:D199" si="34">YEAR(A136)</f>
        <v>2026</v>
      </c>
      <c r="E136" s="185">
        <v>46130</v>
      </c>
      <c r="F136" s="187" t="s">
        <v>1194</v>
      </c>
      <c r="G136" s="188" t="s">
        <v>258</v>
      </c>
      <c r="H136" s="189" t="s">
        <v>194</v>
      </c>
      <c r="I136" s="189" t="s">
        <v>259</v>
      </c>
      <c r="J136" s="189" t="s">
        <v>1193</v>
      </c>
      <c r="K136" s="190"/>
      <c r="L136" s="190"/>
      <c r="M136" s="191" t="s">
        <v>55</v>
      </c>
      <c r="N136" s="191" t="s">
        <v>285</v>
      </c>
      <c r="O136" s="188" t="s">
        <v>191</v>
      </c>
      <c r="P136" s="192"/>
      <c r="Q136" s="180">
        <v>1</v>
      </c>
      <c r="R136" s="192" t="s">
        <v>604</v>
      </c>
      <c r="S136" s="193"/>
      <c r="T136" s="193"/>
      <c r="U136" s="193">
        <v>248545455</v>
      </c>
      <c r="V136" s="193"/>
      <c r="W136" s="194">
        <v>4500000</v>
      </c>
      <c r="X136" s="194"/>
      <c r="Y136" s="194">
        <v>3157656</v>
      </c>
      <c r="Z136" s="194"/>
      <c r="AA136" s="194">
        <v>0</v>
      </c>
      <c r="AB136" s="194">
        <f t="shared" si="29"/>
        <v>0</v>
      </c>
      <c r="AC136" s="195">
        <f t="shared" si="30"/>
        <v>0</v>
      </c>
      <c r="AD136" s="196">
        <f t="shared" si="31"/>
        <v>0</v>
      </c>
      <c r="AE136" s="195"/>
      <c r="AF136" s="195"/>
      <c r="AG136" s="195"/>
      <c r="AH136" s="193"/>
      <c r="AI136" s="197"/>
      <c r="AJ136" s="198"/>
      <c r="AK136" s="188" t="s">
        <v>250</v>
      </c>
      <c r="AL136" s="181">
        <f>IF(E136&gt;=DATE(2026,4,1),IF(OR($AK136="Khách hàng thông thường",$AK136="Khách hàng chuyển đổi xe xăng"),IFERROR(VLOOKUP($M136,'[1]CSBH THƯỞNG XE'!$U$3:$YY$800,3,0),0),IF($AK136="Khách hàng Khối Quân đội - Công An",IFERROR(VLOOKUP($M136,'[1]CSBH THƯỞNG XE'!$U$3:$X$600,4,0),0),IF($AK136="Khách hàng Giờ trái đất",IFERROR(VLOOKUP($M136,'[1]CSBH THƯỞNG XE'!$U$3:$Y$700,5,0),0),0))),0)</f>
        <v>8000000</v>
      </c>
      <c r="AM136" s="181"/>
      <c r="AN136" s="181"/>
      <c r="AO136" s="182">
        <f t="shared" ref="AO136:AO199" si="35">+(AL136+AM136+AN136-AD136)*(60%+BF136+BG136)</f>
        <v>7940789.752973468</v>
      </c>
      <c r="AP136" s="182">
        <f t="shared" si="27"/>
        <v>7940789.752973468</v>
      </c>
      <c r="AQ136" s="183">
        <f t="shared" si="28"/>
        <v>7940789.752973468</v>
      </c>
      <c r="AR136" s="182">
        <f t="shared" ref="AR136:AR199" si="36">IF(AND(LEFT(R136,3)="VF8",OR(RIGHT(R136,6)="997261", RIGHT(R136,6)="997323")),10000000,0)+IF(AND(LEFT(R136,3)="VF7",OR(RIGHT(R136,6)="879204",RIGHT(R136,6)="888618",RIGHT(R136,6)="888692",RIGHT(R136,6)="878174")),5000000,0)+IF(AND(LEFT(R136,3)="VF9",OR(RIGHT(R136,6)="703199",RIGHT(R136,6)="814035",RIGHT(R136,6)="788297",RIGHT(R136,6)="815790")),10000000,0)</f>
        <v>0</v>
      </c>
      <c r="AS136" s="182">
        <f t="shared" ref="AS136:AS199" si="37">IF(N136="TRẮNG",0,IF(AND(M136="Limo green",A136&lt;DATE(2026,4,21)),3000000,IF(AND(M136="Limo green",A136&lt;=DATE(2026,4,30)),5000000,0)))</f>
        <v>0</v>
      </c>
      <c r="AT136" s="182">
        <v>0</v>
      </c>
      <c r="AU136" s="182">
        <v>4500000</v>
      </c>
      <c r="AV136" s="194"/>
      <c r="AW136" s="285"/>
      <c r="AX136" s="285"/>
      <c r="AY136" s="266"/>
      <c r="AZ136" s="280"/>
      <c r="BA136" s="281" t="s">
        <v>1981</v>
      </c>
      <c r="BB136" s="282">
        <f>VLOOKUP(H136,[1]NVKD!$C$1:$M$3296,11,0)</f>
        <v>6</v>
      </c>
      <c r="BC136" s="281" t="s">
        <v>1982</v>
      </c>
      <c r="BD136" s="283" t="str">
        <f t="shared" ref="BD136:BD199" si="38">G136</f>
        <v>Showroom 50 Nguyễn Văn Tăng</v>
      </c>
      <c r="BF136" s="284">
        <f t="shared" ref="BF136:BF199" si="39">IFERROR(IF(BC136="Trả thẳng",20%,IF(W136=0,0,IF(W136/4000000&lt;0.5,0,MIN(W136/4000000*20%,20%)))),0)</f>
        <v>0.2</v>
      </c>
      <c r="BG136" s="284">
        <f>IFERROR(IF(Y136=0,0, IF(Y136 / VLOOKUP(M136,'[1]CSBH THƯỞNG XE'!$U$3:$AA$1100,7,FALSE) &lt; 0.5,0,MIN((Y136 / VLOOKUP(M136,'[1]CSBH THƯỞNG XE'!$U$3:$AA$1100,7,FALSE)) * 20%,20%))),0)</f>
        <v>0.19259871912168347</v>
      </c>
      <c r="BI136" s="287"/>
    </row>
    <row r="137" spans="1:61" s="286" customFormat="1" ht="20.149999999999999" customHeight="1">
      <c r="A137" s="185">
        <v>46123</v>
      </c>
      <c r="B137" s="186">
        <f t="shared" si="32"/>
        <v>11</v>
      </c>
      <c r="C137" s="186">
        <f t="shared" si="33"/>
        <v>4</v>
      </c>
      <c r="D137" s="186">
        <f t="shared" si="34"/>
        <v>2026</v>
      </c>
      <c r="E137" s="185">
        <v>46132</v>
      </c>
      <c r="F137" s="187" t="s">
        <v>1195</v>
      </c>
      <c r="G137" s="188" t="s">
        <v>251</v>
      </c>
      <c r="H137" s="189" t="s">
        <v>158</v>
      </c>
      <c r="I137" s="189" t="s">
        <v>265</v>
      </c>
      <c r="J137" s="189" t="s">
        <v>556</v>
      </c>
      <c r="K137" s="190"/>
      <c r="L137" s="190"/>
      <c r="M137" s="191" t="s">
        <v>56</v>
      </c>
      <c r="N137" s="191" t="s">
        <v>275</v>
      </c>
      <c r="O137" s="188" t="s">
        <v>105</v>
      </c>
      <c r="P137" s="192"/>
      <c r="Q137" s="180">
        <v>1</v>
      </c>
      <c r="R137" s="192" t="s">
        <v>558</v>
      </c>
      <c r="S137" s="193"/>
      <c r="T137" s="193"/>
      <c r="U137" s="193">
        <v>246272727</v>
      </c>
      <c r="V137" s="193"/>
      <c r="W137" s="194"/>
      <c r="X137" s="194"/>
      <c r="Y137" s="194"/>
      <c r="Z137" s="194"/>
      <c r="AA137" s="194">
        <v>0</v>
      </c>
      <c r="AB137" s="194">
        <f t="shared" si="29"/>
        <v>0</v>
      </c>
      <c r="AC137" s="195">
        <f t="shared" si="30"/>
        <v>0</v>
      </c>
      <c r="AD137" s="196">
        <f t="shared" si="31"/>
        <v>0</v>
      </c>
      <c r="AE137" s="195"/>
      <c r="AF137" s="195"/>
      <c r="AG137" s="195"/>
      <c r="AH137" s="193"/>
      <c r="AI137" s="197"/>
      <c r="AJ137" s="198"/>
      <c r="AK137" s="42" t="s">
        <v>271</v>
      </c>
      <c r="AL137" s="181">
        <f>IF(E137&gt;=DATE(2026,4,1),IF(OR($AK137="Khách hàng thông thường",$AK137="Khách hàng chuyển đổi xe xăng"),IFERROR(VLOOKUP($M137,'[1]CSBH THƯỞNG XE'!$U$3:$YY$800,3,0),0),IF($AK137="Khách hàng Khối Quân đội - Công An",IFERROR(VLOOKUP($M137,'[1]CSBH THƯỞNG XE'!$U$3:$X$600,4,0),0),IF($AK137="Khách hàng Giờ trái đất",IFERROR(VLOOKUP($M137,'[1]CSBH THƯỞNG XE'!$U$3:$Y$700,5,0),0),0))),0)</f>
        <v>4250000</v>
      </c>
      <c r="AM137" s="181"/>
      <c r="AN137" s="181"/>
      <c r="AO137" s="182">
        <f t="shared" si="35"/>
        <v>3400000</v>
      </c>
      <c r="AP137" s="182">
        <f t="shared" ref="AP137:AP200" si="40">AO137*100%</f>
        <v>3400000</v>
      </c>
      <c r="AQ137" s="183">
        <f t="shared" ref="AQ137:AQ200" si="41">AP137+AR137+AS137</f>
        <v>3400000</v>
      </c>
      <c r="AR137" s="182">
        <f t="shared" si="36"/>
        <v>0</v>
      </c>
      <c r="AS137" s="182">
        <f t="shared" si="37"/>
        <v>0</v>
      </c>
      <c r="AT137" s="182">
        <v>0</v>
      </c>
      <c r="AU137" s="182">
        <v>0</v>
      </c>
      <c r="AV137" s="199"/>
      <c r="AW137" s="285"/>
      <c r="AX137" s="285"/>
      <c r="AY137" s="266"/>
      <c r="AZ137" s="280"/>
      <c r="BA137" s="281" t="s">
        <v>1981</v>
      </c>
      <c r="BB137" s="282">
        <f>VLOOKUP(H137,[1]NVKD!$C$1:$M$3296,11,0)</f>
        <v>4</v>
      </c>
      <c r="BC137" s="281" t="s">
        <v>1984</v>
      </c>
      <c r="BD137" s="283" t="str">
        <f t="shared" si="38"/>
        <v>Showroom Tân An</v>
      </c>
      <c r="BF137" s="284">
        <f t="shared" si="39"/>
        <v>0.2</v>
      </c>
      <c r="BG137" s="284">
        <f>IFERROR(IF(Y137=0,0, IF(Y137 / VLOOKUP(M137,'[1]CSBH THƯỞNG XE'!$U$3:$AA$1100,7,FALSE) &lt; 0.5,0,MIN((Y137 / VLOOKUP(M137,'[1]CSBH THƯỞNG XE'!$U$3:$AA$1100,7,FALSE)) * 20%,20%))),0)</f>
        <v>0</v>
      </c>
      <c r="BI137" s="287"/>
    </row>
    <row r="138" spans="1:61" s="286" customFormat="1" ht="20.149999999999999" customHeight="1">
      <c r="A138" s="185">
        <v>46129</v>
      </c>
      <c r="B138" s="186">
        <f t="shared" si="32"/>
        <v>17</v>
      </c>
      <c r="C138" s="186">
        <f t="shared" si="33"/>
        <v>4</v>
      </c>
      <c r="D138" s="186">
        <f t="shared" si="34"/>
        <v>2026</v>
      </c>
      <c r="E138" s="185">
        <v>46132</v>
      </c>
      <c r="F138" s="187" t="s">
        <v>1196</v>
      </c>
      <c r="G138" s="188" t="s">
        <v>246</v>
      </c>
      <c r="H138" s="189" t="s">
        <v>132</v>
      </c>
      <c r="I138" s="189" t="s">
        <v>247</v>
      </c>
      <c r="J138" s="189" t="s">
        <v>666</v>
      </c>
      <c r="K138" s="190"/>
      <c r="L138" s="190"/>
      <c r="M138" s="191" t="s">
        <v>51</v>
      </c>
      <c r="N138" s="191" t="s">
        <v>275</v>
      </c>
      <c r="O138" s="188" t="s">
        <v>668</v>
      </c>
      <c r="P138" s="192"/>
      <c r="Q138" s="180">
        <v>1</v>
      </c>
      <c r="R138" s="192" t="s">
        <v>670</v>
      </c>
      <c r="S138" s="193"/>
      <c r="T138" s="193"/>
      <c r="U138" s="193">
        <v>770600000</v>
      </c>
      <c r="V138" s="193"/>
      <c r="W138" s="194"/>
      <c r="X138" s="194"/>
      <c r="Y138" s="194"/>
      <c r="Z138" s="194"/>
      <c r="AA138" s="194">
        <v>15000000</v>
      </c>
      <c r="AB138" s="194">
        <f t="shared" si="29"/>
        <v>15000000</v>
      </c>
      <c r="AC138" s="195">
        <f t="shared" si="30"/>
        <v>15000000</v>
      </c>
      <c r="AD138" s="196">
        <f t="shared" si="31"/>
        <v>15000000</v>
      </c>
      <c r="AE138" s="195"/>
      <c r="AF138" s="195"/>
      <c r="AG138" s="195"/>
      <c r="AH138" s="193"/>
      <c r="AI138" s="197"/>
      <c r="AJ138" s="198"/>
      <c r="AK138" s="188" t="s">
        <v>250</v>
      </c>
      <c r="AL138" s="181">
        <f>IF(E138&gt;=DATE(2026,4,1),IF(OR($AK138="Khách hàng thông thường",$AK138="Khách hàng chuyển đổi xe xăng"),IFERROR(VLOOKUP($M138,'[1]CSBH THƯỞNG XE'!$U$3:$YY$800,3,0),0),IF($AK138="Khách hàng Khối Quân đội - Công An",IFERROR(VLOOKUP($M138,'[1]CSBH THƯỞNG XE'!$U$3:$X$600,4,0),0),IF($AK138="Khách hàng Giờ trái đất",IFERROR(VLOOKUP($M138,'[1]CSBH THƯỞNG XE'!$U$3:$Y$700,5,0),0),0))),0)</f>
        <v>28000000</v>
      </c>
      <c r="AM138" s="181"/>
      <c r="AN138" s="181"/>
      <c r="AO138" s="182">
        <f t="shared" si="35"/>
        <v>10400000</v>
      </c>
      <c r="AP138" s="182">
        <f t="shared" si="40"/>
        <v>10400000</v>
      </c>
      <c r="AQ138" s="183">
        <f t="shared" si="41"/>
        <v>10400000</v>
      </c>
      <c r="AR138" s="182">
        <f t="shared" si="36"/>
        <v>0</v>
      </c>
      <c r="AS138" s="182">
        <f t="shared" si="37"/>
        <v>0</v>
      </c>
      <c r="AT138" s="182">
        <v>0</v>
      </c>
      <c r="AU138" s="182">
        <v>0</v>
      </c>
      <c r="AV138" s="199"/>
      <c r="AW138" s="285"/>
      <c r="AX138" s="285"/>
      <c r="AY138" s="266"/>
      <c r="AZ138" s="280"/>
      <c r="BA138" s="281" t="s">
        <v>1981</v>
      </c>
      <c r="BB138" s="282">
        <f>VLOOKUP(H138,[1]NVKD!$C$1:$M$3296,11,0)</f>
        <v>10</v>
      </c>
      <c r="BC138" s="281" t="s">
        <v>1984</v>
      </c>
      <c r="BD138" s="283" t="str">
        <f t="shared" si="38"/>
        <v>Showroom Bến Lức</v>
      </c>
      <c r="BF138" s="284">
        <f t="shared" si="39"/>
        <v>0.2</v>
      </c>
      <c r="BG138" s="284">
        <f>IFERROR(IF(Y138=0,0, IF(Y138 / VLOOKUP(M138,'[1]CSBH THƯỞNG XE'!$U$3:$AA$1100,7,FALSE) &lt; 0.5,0,MIN((Y138 / VLOOKUP(M138,'[1]CSBH THƯỞNG XE'!$U$3:$AA$1100,7,FALSE)) * 20%,20%))),0)</f>
        <v>0</v>
      </c>
      <c r="BI138" s="287"/>
    </row>
    <row r="139" spans="1:61" s="286" customFormat="1" ht="20.149999999999999" customHeight="1">
      <c r="A139" s="185">
        <v>46123</v>
      </c>
      <c r="B139" s="186">
        <f t="shared" si="32"/>
        <v>11</v>
      </c>
      <c r="C139" s="186">
        <f t="shared" si="33"/>
        <v>4</v>
      </c>
      <c r="D139" s="186">
        <f t="shared" si="34"/>
        <v>2026</v>
      </c>
      <c r="E139" s="185">
        <v>46132</v>
      </c>
      <c r="F139" s="187" t="s">
        <v>1197</v>
      </c>
      <c r="G139" s="188" t="s">
        <v>258</v>
      </c>
      <c r="H139" s="189" t="s">
        <v>780</v>
      </c>
      <c r="I139" s="189" t="s">
        <v>282</v>
      </c>
      <c r="J139" s="189" t="s">
        <v>1198</v>
      </c>
      <c r="K139" s="190"/>
      <c r="L139" s="190"/>
      <c r="M139" s="191" t="s">
        <v>110</v>
      </c>
      <c r="N139" s="191" t="s">
        <v>281</v>
      </c>
      <c r="O139" s="188" t="s">
        <v>140</v>
      </c>
      <c r="P139" s="192"/>
      <c r="Q139" s="180">
        <v>1</v>
      </c>
      <c r="R139" s="192" t="s">
        <v>783</v>
      </c>
      <c r="S139" s="193"/>
      <c r="T139" s="193"/>
      <c r="U139" s="193">
        <v>450709091</v>
      </c>
      <c r="V139" s="193"/>
      <c r="W139" s="194">
        <v>7782520</v>
      </c>
      <c r="X139" s="194"/>
      <c r="Y139" s="194">
        <v>3546194</v>
      </c>
      <c r="Z139" s="194"/>
      <c r="AA139" s="194">
        <v>9000000</v>
      </c>
      <c r="AB139" s="194">
        <f t="shared" si="29"/>
        <v>9000000</v>
      </c>
      <c r="AC139" s="195">
        <f t="shared" si="30"/>
        <v>9000000</v>
      </c>
      <c r="AD139" s="196">
        <f t="shared" si="31"/>
        <v>9000000</v>
      </c>
      <c r="AE139" s="195"/>
      <c r="AF139" s="195"/>
      <c r="AG139" s="195"/>
      <c r="AH139" s="193"/>
      <c r="AI139" s="197"/>
      <c r="AJ139" s="198"/>
      <c r="AK139" s="188" t="s">
        <v>250</v>
      </c>
      <c r="AL139" s="181">
        <f>IF(E139&gt;=DATE(2026,4,1),IF(OR($AK139="Khách hàng thông thường",$AK139="Khách hàng chuyển đổi xe xăng"),IFERROR(VLOOKUP($M139,'[1]CSBH THƯỞNG XE'!$U$3:$YY$800,3,0),0),IF($AK139="Khách hàng Khối Quân đội - Công An",IFERROR(VLOOKUP($M139,'[1]CSBH THƯỞNG XE'!$U$3:$X$600,4,0),0),IF($AK139="Khách hàng Giờ trái đất",IFERROR(VLOOKUP($M139,'[1]CSBH THƯỞNG XE'!$U$3:$Y$700,5,0),0),0))),0)</f>
        <v>16000000</v>
      </c>
      <c r="AM139" s="181"/>
      <c r="AN139" s="181"/>
      <c r="AO139" s="182">
        <f t="shared" si="35"/>
        <v>6896296.4722998505</v>
      </c>
      <c r="AP139" s="182">
        <f t="shared" si="40"/>
        <v>6896296.4722998505</v>
      </c>
      <c r="AQ139" s="183">
        <f t="shared" si="41"/>
        <v>6896296.4722998505</v>
      </c>
      <c r="AR139" s="182">
        <f t="shared" si="36"/>
        <v>0</v>
      </c>
      <c r="AS139" s="182">
        <f t="shared" si="37"/>
        <v>0</v>
      </c>
      <c r="AT139" s="182">
        <v>0</v>
      </c>
      <c r="AU139" s="182">
        <v>0</v>
      </c>
      <c r="AV139" s="199"/>
      <c r="AW139" s="285"/>
      <c r="AX139" s="285"/>
      <c r="AY139" s="266"/>
      <c r="AZ139" s="280"/>
      <c r="BA139" s="281" t="s">
        <v>1983</v>
      </c>
      <c r="BB139" s="282">
        <f>VLOOKUP(H139,[1]NVKD!$C$1:$M$3296,11,0)</f>
        <v>1</v>
      </c>
      <c r="BC139" s="281" t="s">
        <v>1982</v>
      </c>
      <c r="BD139" s="283" t="str">
        <f t="shared" si="38"/>
        <v>Showroom 50 Nguyễn Văn Tăng</v>
      </c>
      <c r="BF139" s="284">
        <f t="shared" si="39"/>
        <v>0.2</v>
      </c>
      <c r="BG139" s="284">
        <f>IFERROR(IF(Y139=0,0, IF(Y139 / VLOOKUP(M139,'[1]CSBH THƯỞNG XE'!$U$3:$AA$1100,7,FALSE) &lt; 0.5,0,MIN((Y139 / VLOOKUP(M139,'[1]CSBH THƯỞNG XE'!$U$3:$AA$1100,7,FALSE)) * 20%,20%))),0)</f>
        <v>0.18518521032855001</v>
      </c>
      <c r="BI139" s="287"/>
    </row>
    <row r="140" spans="1:61" s="286" customFormat="1" ht="20.149999999999999" customHeight="1">
      <c r="A140" s="185">
        <v>46125</v>
      </c>
      <c r="B140" s="186">
        <f t="shared" si="32"/>
        <v>13</v>
      </c>
      <c r="C140" s="186">
        <f t="shared" si="33"/>
        <v>4</v>
      </c>
      <c r="D140" s="186">
        <f t="shared" si="34"/>
        <v>2026</v>
      </c>
      <c r="E140" s="185">
        <v>46132</v>
      </c>
      <c r="F140" s="187" t="s">
        <v>1199</v>
      </c>
      <c r="G140" s="188" t="s">
        <v>258</v>
      </c>
      <c r="H140" s="189" t="s">
        <v>146</v>
      </c>
      <c r="I140" s="189" t="s">
        <v>261</v>
      </c>
      <c r="J140" s="189" t="s">
        <v>1200</v>
      </c>
      <c r="K140" s="190"/>
      <c r="L140" s="190"/>
      <c r="M140" s="191" t="s">
        <v>56</v>
      </c>
      <c r="N140" s="191" t="s">
        <v>260</v>
      </c>
      <c r="O140" s="188" t="s">
        <v>140</v>
      </c>
      <c r="P140" s="192"/>
      <c r="Q140" s="180">
        <v>1</v>
      </c>
      <c r="R140" s="192" t="s">
        <v>779</v>
      </c>
      <c r="S140" s="193"/>
      <c r="T140" s="193"/>
      <c r="U140" s="193">
        <v>261944545</v>
      </c>
      <c r="V140" s="193"/>
      <c r="W140" s="194"/>
      <c r="X140" s="194"/>
      <c r="Y140" s="194"/>
      <c r="Z140" s="194"/>
      <c r="AA140" s="194">
        <v>5000000</v>
      </c>
      <c r="AB140" s="194">
        <f t="shared" si="29"/>
        <v>5000000</v>
      </c>
      <c r="AC140" s="195">
        <f t="shared" si="30"/>
        <v>5000000</v>
      </c>
      <c r="AD140" s="196">
        <f t="shared" si="31"/>
        <v>5000000</v>
      </c>
      <c r="AE140" s="195"/>
      <c r="AF140" s="195"/>
      <c r="AG140" s="195"/>
      <c r="AH140" s="193"/>
      <c r="AI140" s="197"/>
      <c r="AJ140" s="198"/>
      <c r="AK140" s="188" t="s">
        <v>250</v>
      </c>
      <c r="AL140" s="181">
        <f>IF(E140&gt;=DATE(2026,4,1),IF(OR($AK140="Khách hàng thông thường",$AK140="Khách hàng chuyển đổi xe xăng"),IFERROR(VLOOKUP($M140,'[1]CSBH THƯỞNG XE'!$U$3:$YY$800,3,0),0),IF($AK140="Khách hàng Khối Quân đội - Công An",IFERROR(VLOOKUP($M140,'[1]CSBH THƯỞNG XE'!$U$3:$X$600,4,0),0),IF($AK140="Khách hàng Giờ trái đất",IFERROR(VLOOKUP($M140,'[1]CSBH THƯỞNG XE'!$U$3:$Y$700,5,0),0),0))),0)</f>
        <v>8500000</v>
      </c>
      <c r="AM140" s="181"/>
      <c r="AN140" s="181"/>
      <c r="AO140" s="182">
        <f t="shared" si="35"/>
        <v>2100000</v>
      </c>
      <c r="AP140" s="182">
        <f t="shared" si="40"/>
        <v>2100000</v>
      </c>
      <c r="AQ140" s="183">
        <f t="shared" si="41"/>
        <v>2100000</v>
      </c>
      <c r="AR140" s="182">
        <f t="shared" si="36"/>
        <v>0</v>
      </c>
      <c r="AS140" s="182">
        <f t="shared" si="37"/>
        <v>0</v>
      </c>
      <c r="AT140" s="182">
        <v>0</v>
      </c>
      <c r="AU140" s="182">
        <v>0</v>
      </c>
      <c r="AV140" s="199"/>
      <c r="AW140" s="285"/>
      <c r="AX140" s="285"/>
      <c r="AY140" s="266"/>
      <c r="AZ140" s="280"/>
      <c r="BA140" s="281" t="s">
        <v>1981</v>
      </c>
      <c r="BB140" s="282">
        <f>VLOOKUP(H140,[1]NVKD!$C$1:$M$3296,11,0)</f>
        <v>3</v>
      </c>
      <c r="BC140" s="281" t="s">
        <v>1982</v>
      </c>
      <c r="BD140" s="283" t="str">
        <f t="shared" si="38"/>
        <v>Showroom 50 Nguyễn Văn Tăng</v>
      </c>
      <c r="BF140" s="284">
        <f t="shared" si="39"/>
        <v>0</v>
      </c>
      <c r="BG140" s="284">
        <f>IFERROR(IF(Y140=0,0, IF(Y140 / VLOOKUP(M140,'[1]CSBH THƯỞNG XE'!$U$3:$AA$1100,7,FALSE) &lt; 0.5,0,MIN((Y140 / VLOOKUP(M140,'[1]CSBH THƯỞNG XE'!$U$3:$AA$1100,7,FALSE)) * 20%,20%))),0)</f>
        <v>0</v>
      </c>
      <c r="BI140" s="287"/>
    </row>
    <row r="141" spans="1:61" s="286" customFormat="1" ht="20.149999999999999" customHeight="1">
      <c r="A141" s="185">
        <v>46130</v>
      </c>
      <c r="B141" s="186">
        <f t="shared" si="32"/>
        <v>18</v>
      </c>
      <c r="C141" s="186">
        <f t="shared" si="33"/>
        <v>4</v>
      </c>
      <c r="D141" s="186">
        <f t="shared" si="34"/>
        <v>2026</v>
      </c>
      <c r="E141" s="185">
        <v>46132</v>
      </c>
      <c r="F141" s="187" t="s">
        <v>1201</v>
      </c>
      <c r="G141" s="188" t="s">
        <v>258</v>
      </c>
      <c r="H141" s="189" t="s">
        <v>785</v>
      </c>
      <c r="I141" s="189" t="s">
        <v>282</v>
      </c>
      <c r="J141" s="189" t="s">
        <v>1202</v>
      </c>
      <c r="K141" s="190"/>
      <c r="L141" s="190"/>
      <c r="M141" s="191" t="s">
        <v>50</v>
      </c>
      <c r="N141" s="191" t="s">
        <v>260</v>
      </c>
      <c r="O141" s="188" t="s">
        <v>788</v>
      </c>
      <c r="P141" s="192"/>
      <c r="Q141" s="180">
        <v>1</v>
      </c>
      <c r="R141" s="192" t="s">
        <v>789</v>
      </c>
      <c r="S141" s="193"/>
      <c r="T141" s="193"/>
      <c r="U141" s="193">
        <v>925467591</v>
      </c>
      <c r="V141" s="193"/>
      <c r="W141" s="194">
        <v>9775171</v>
      </c>
      <c r="X141" s="194"/>
      <c r="Y141" s="194">
        <v>9025000</v>
      </c>
      <c r="Z141" s="194"/>
      <c r="AA141" s="194">
        <v>19900000</v>
      </c>
      <c r="AB141" s="194">
        <f t="shared" si="29"/>
        <v>19900000</v>
      </c>
      <c r="AC141" s="195">
        <f t="shared" si="30"/>
        <v>19900000</v>
      </c>
      <c r="AD141" s="196">
        <f t="shared" si="31"/>
        <v>19900000</v>
      </c>
      <c r="AE141" s="195"/>
      <c r="AF141" s="195"/>
      <c r="AG141" s="195"/>
      <c r="AH141" s="193"/>
      <c r="AI141" s="197"/>
      <c r="AJ141" s="198"/>
      <c r="AK141" s="188" t="s">
        <v>250</v>
      </c>
      <c r="AL141" s="181">
        <f>IF(E141&gt;=DATE(2026,4,1),IF(OR($AK141="Khách hàng thông thường",$AK141="Khách hàng chuyển đổi xe xăng"),IFERROR(VLOOKUP($M141,'[1]CSBH THƯỞNG XE'!$U$3:$YY$800,3,0),0),IF($AK141="Khách hàng Khối Quân đội - Công An",IFERROR(VLOOKUP($M141,'[1]CSBH THƯỞNG XE'!$U$3:$X$600,4,0),0),IF($AK141="Khách hàng Giờ trái đất",IFERROR(VLOOKUP($M141,'[1]CSBH THƯỞNG XE'!$U$3:$Y$700,5,0),0),0))),0)</f>
        <v>40000000</v>
      </c>
      <c r="AM141" s="181"/>
      <c r="AN141" s="181"/>
      <c r="AO141" s="182">
        <f t="shared" si="35"/>
        <v>20100000</v>
      </c>
      <c r="AP141" s="182">
        <f t="shared" si="40"/>
        <v>20100000</v>
      </c>
      <c r="AQ141" s="183">
        <f t="shared" si="41"/>
        <v>20100000</v>
      </c>
      <c r="AR141" s="182">
        <f t="shared" si="36"/>
        <v>0</v>
      </c>
      <c r="AS141" s="182">
        <f t="shared" si="37"/>
        <v>0</v>
      </c>
      <c r="AT141" s="182">
        <v>0</v>
      </c>
      <c r="AU141" s="182">
        <v>9775171</v>
      </c>
      <c r="AV141" s="194">
        <v>9025000</v>
      </c>
      <c r="AW141" s="285"/>
      <c r="AX141" s="285"/>
      <c r="AY141" s="266"/>
      <c r="AZ141" s="280"/>
      <c r="BA141" s="281" t="s">
        <v>1981</v>
      </c>
      <c r="BB141" s="282">
        <f>VLOOKUP(H141,[1]NVKD!$C$1:$M$3296,11,0)</f>
        <v>1</v>
      </c>
      <c r="BC141" s="281" t="s">
        <v>1984</v>
      </c>
      <c r="BD141" s="283" t="str">
        <f t="shared" si="38"/>
        <v>Showroom 50 Nguyễn Văn Tăng</v>
      </c>
      <c r="BF141" s="284">
        <f t="shared" si="39"/>
        <v>0.2</v>
      </c>
      <c r="BG141" s="284">
        <f>IFERROR(IF(Y141=0,0, IF(Y141 / VLOOKUP(M141,'[1]CSBH THƯỞNG XE'!$U$3:$AA$1100,7,FALSE) &lt; 0.5,0,MIN((Y141 / VLOOKUP(M141,'[1]CSBH THƯỞNG XE'!$U$3:$AA$1100,7,FALSE)) * 20%,20%))),0)</f>
        <v>0.2</v>
      </c>
      <c r="BH141" s="257" t="s">
        <v>787</v>
      </c>
      <c r="BI141" s="287"/>
    </row>
    <row r="142" spans="1:61" s="286" customFormat="1" ht="20.149999999999999" customHeight="1">
      <c r="A142" s="185">
        <v>46119</v>
      </c>
      <c r="B142" s="186">
        <f t="shared" si="32"/>
        <v>7</v>
      </c>
      <c r="C142" s="186">
        <f t="shared" si="33"/>
        <v>4</v>
      </c>
      <c r="D142" s="186">
        <f t="shared" si="34"/>
        <v>2026</v>
      </c>
      <c r="E142" s="185">
        <v>46132</v>
      </c>
      <c r="F142" s="187" t="s">
        <v>1203</v>
      </c>
      <c r="G142" s="188" t="s">
        <v>254</v>
      </c>
      <c r="H142" s="189" t="s">
        <v>147</v>
      </c>
      <c r="I142" s="189"/>
      <c r="J142" s="189" t="s">
        <v>1204</v>
      </c>
      <c r="K142" s="190"/>
      <c r="L142" s="190"/>
      <c r="M142" s="191" t="s">
        <v>114</v>
      </c>
      <c r="N142" s="191" t="s">
        <v>248</v>
      </c>
      <c r="O142" s="188" t="s">
        <v>172</v>
      </c>
      <c r="P142" s="192"/>
      <c r="Q142" s="180">
        <v>1</v>
      </c>
      <c r="R142" s="192" t="s">
        <v>633</v>
      </c>
      <c r="S142" s="193"/>
      <c r="T142" s="193"/>
      <c r="U142" s="193">
        <v>614172727</v>
      </c>
      <c r="V142" s="193"/>
      <c r="W142" s="194">
        <v>11518810</v>
      </c>
      <c r="X142" s="194"/>
      <c r="Y142" s="194"/>
      <c r="Z142" s="194"/>
      <c r="AA142" s="194">
        <v>6000000</v>
      </c>
      <c r="AB142" s="194">
        <f t="shared" si="29"/>
        <v>6000000</v>
      </c>
      <c r="AC142" s="195">
        <f t="shared" si="30"/>
        <v>6000000</v>
      </c>
      <c r="AD142" s="196">
        <f t="shared" si="31"/>
        <v>6000000</v>
      </c>
      <c r="AE142" s="195"/>
      <c r="AF142" s="195"/>
      <c r="AG142" s="195"/>
      <c r="AH142" s="193"/>
      <c r="AI142" s="197"/>
      <c r="AJ142" s="198"/>
      <c r="AK142" s="188" t="s">
        <v>250</v>
      </c>
      <c r="AL142" s="181">
        <f>IF(E142&gt;=DATE(2026,4,1),IF(OR($AK142="Khách hàng thông thường",$AK142="Khách hàng chuyển đổi xe xăng"),IFERROR(VLOOKUP($M142,'[1]CSBH THƯỞNG XE'!$U$3:$YY$800,3,0),0),IF($AK142="Khách hàng Khối Quân đội - Công An",IFERROR(VLOOKUP($M142,'[1]CSBH THƯỞNG XE'!$U$3:$X$600,4,0),0),IF($AK142="Khách hàng Giờ trái đất",IFERROR(VLOOKUP($M142,'[1]CSBH THƯỞNG XE'!$U$3:$Y$700,5,0),0),0))),0)</f>
        <v>19000000</v>
      </c>
      <c r="AM142" s="181"/>
      <c r="AN142" s="181"/>
      <c r="AO142" s="182">
        <f t="shared" si="35"/>
        <v>10400000</v>
      </c>
      <c r="AP142" s="182">
        <f t="shared" si="40"/>
        <v>10400000</v>
      </c>
      <c r="AQ142" s="183">
        <f t="shared" si="41"/>
        <v>13400000</v>
      </c>
      <c r="AR142" s="182">
        <f t="shared" si="36"/>
        <v>0</v>
      </c>
      <c r="AS142" s="182">
        <f t="shared" si="37"/>
        <v>3000000</v>
      </c>
      <c r="AT142" s="182">
        <v>10000000</v>
      </c>
      <c r="AU142" s="182">
        <v>11518810</v>
      </c>
      <c r="AV142" s="199"/>
      <c r="AW142" s="285"/>
      <c r="AX142" s="285"/>
      <c r="AY142" s="266"/>
      <c r="AZ142" s="280"/>
      <c r="BA142" s="281">
        <v>0</v>
      </c>
      <c r="BB142" s="282">
        <f>VLOOKUP(H142,[1]NVKD!$C$1:$M$3296,11,0)</f>
        <v>2</v>
      </c>
      <c r="BC142" s="281" t="s">
        <v>1982</v>
      </c>
      <c r="BD142" s="283" t="str">
        <f t="shared" si="38"/>
        <v>Showroom Sala</v>
      </c>
      <c r="BF142" s="284">
        <f t="shared" si="39"/>
        <v>0.2</v>
      </c>
      <c r="BG142" s="284">
        <f>IFERROR(IF(Y142=0,0, IF(Y142 / VLOOKUP(M142,'[1]CSBH THƯỞNG XE'!$U$3:$AA$1100,7,FALSE) &lt; 0.5,0,MIN((Y142 / VLOOKUP(M142,'[1]CSBH THƯỞNG XE'!$U$3:$AA$1100,7,FALSE)) * 20%,20%))),0)</f>
        <v>0</v>
      </c>
      <c r="BI142" s="287"/>
    </row>
    <row r="143" spans="1:61" s="286" customFormat="1" ht="20.149999999999999" customHeight="1">
      <c r="A143" s="185">
        <v>46120</v>
      </c>
      <c r="B143" s="186">
        <f t="shared" si="32"/>
        <v>8</v>
      </c>
      <c r="C143" s="186">
        <f t="shared" si="33"/>
        <v>4</v>
      </c>
      <c r="D143" s="186">
        <f t="shared" si="34"/>
        <v>2026</v>
      </c>
      <c r="E143" s="185">
        <v>46133</v>
      </c>
      <c r="F143" s="187" t="s">
        <v>1205</v>
      </c>
      <c r="G143" s="188" t="s">
        <v>254</v>
      </c>
      <c r="H143" s="189" t="s">
        <v>466</v>
      </c>
      <c r="I143" s="189"/>
      <c r="J143" s="189" t="s">
        <v>620</v>
      </c>
      <c r="K143" s="190"/>
      <c r="L143" s="190"/>
      <c r="M143" s="191" t="s">
        <v>55</v>
      </c>
      <c r="N143" s="191" t="s">
        <v>253</v>
      </c>
      <c r="O143" s="188" t="s">
        <v>622</v>
      </c>
      <c r="P143" s="192"/>
      <c r="Q143" s="180">
        <v>1</v>
      </c>
      <c r="R143" s="192" t="s">
        <v>623</v>
      </c>
      <c r="S143" s="193"/>
      <c r="T143" s="193"/>
      <c r="U143" s="193">
        <v>248545455</v>
      </c>
      <c r="V143" s="193"/>
      <c r="W143" s="194">
        <v>6030700</v>
      </c>
      <c r="X143" s="194"/>
      <c r="Y143" s="194">
        <v>3279000</v>
      </c>
      <c r="Z143" s="194"/>
      <c r="AA143" s="194">
        <v>0</v>
      </c>
      <c r="AB143" s="194">
        <f t="shared" si="29"/>
        <v>0</v>
      </c>
      <c r="AC143" s="195">
        <f t="shared" si="30"/>
        <v>0</v>
      </c>
      <c r="AD143" s="196">
        <f t="shared" si="31"/>
        <v>0</v>
      </c>
      <c r="AE143" s="195"/>
      <c r="AF143" s="195"/>
      <c r="AG143" s="195"/>
      <c r="AH143" s="193"/>
      <c r="AI143" s="197"/>
      <c r="AJ143" s="198"/>
      <c r="AK143" s="188" t="s">
        <v>250</v>
      </c>
      <c r="AL143" s="181">
        <f>IF(E143&gt;=DATE(2026,4,1),IF(OR($AK143="Khách hàng thông thường",$AK143="Khách hàng chuyển đổi xe xăng"),IFERROR(VLOOKUP($M143,'[1]CSBH THƯỞNG XE'!$U$3:$YY$800,3,0),0),IF($AK143="Khách hàng Khối Quân đội - Công An",IFERROR(VLOOKUP($M143,'[1]CSBH THƯỞNG XE'!$U$3:$X$600,4,0),0),IF($AK143="Khách hàng Giờ trái đất",IFERROR(VLOOKUP($M143,'[1]CSBH THƯỞNG XE'!$U$3:$Y$700,5,0),0),0))),0)</f>
        <v>8000000</v>
      </c>
      <c r="AM143" s="181"/>
      <c r="AN143" s="181"/>
      <c r="AO143" s="182">
        <f t="shared" si="35"/>
        <v>8000000</v>
      </c>
      <c r="AP143" s="182">
        <f t="shared" si="40"/>
        <v>8000000</v>
      </c>
      <c r="AQ143" s="183">
        <f t="shared" si="41"/>
        <v>8000000</v>
      </c>
      <c r="AR143" s="182">
        <f t="shared" si="36"/>
        <v>0</v>
      </c>
      <c r="AS143" s="182">
        <f t="shared" si="37"/>
        <v>0</v>
      </c>
      <c r="AT143" s="182">
        <v>0</v>
      </c>
      <c r="AU143" s="182">
        <v>0</v>
      </c>
      <c r="AV143" s="194">
        <v>3279000</v>
      </c>
      <c r="AW143" s="285"/>
      <c r="AX143" s="285"/>
      <c r="AY143" s="266"/>
      <c r="AZ143" s="280"/>
      <c r="BA143" s="281">
        <v>0</v>
      </c>
      <c r="BB143" s="282">
        <f>VLOOKUP(H143,[1]NVKD!$C$1:$M$3296,11,0)</f>
        <v>4</v>
      </c>
      <c r="BC143" s="281" t="s">
        <v>1982</v>
      </c>
      <c r="BD143" s="283" t="str">
        <f t="shared" si="38"/>
        <v>Showroom Sala</v>
      </c>
      <c r="BF143" s="284">
        <f t="shared" si="39"/>
        <v>0.2</v>
      </c>
      <c r="BG143" s="284">
        <f>IFERROR(IF(Y143=0,0, IF(Y143 / VLOOKUP(M143,'[1]CSBH THƯỞNG XE'!$U$3:$AA$1100,7,FALSE) &lt; 0.5,0,MIN((Y143 / VLOOKUP(M143,'[1]CSBH THƯỞNG XE'!$U$3:$AA$1100,7,FALSE)) * 20%,20%))),0)</f>
        <v>0.2</v>
      </c>
      <c r="BI143" s="287"/>
    </row>
    <row r="144" spans="1:61" s="286" customFormat="1" ht="20.149999999999999" customHeight="1">
      <c r="A144" s="185">
        <v>46122</v>
      </c>
      <c r="B144" s="186">
        <f t="shared" si="32"/>
        <v>10</v>
      </c>
      <c r="C144" s="186">
        <f t="shared" si="33"/>
        <v>4</v>
      </c>
      <c r="D144" s="186">
        <f t="shared" si="34"/>
        <v>2026</v>
      </c>
      <c r="E144" s="185">
        <v>46133</v>
      </c>
      <c r="F144" s="187" t="s">
        <v>1206</v>
      </c>
      <c r="G144" s="188" t="s">
        <v>263</v>
      </c>
      <c r="H144" s="189" t="s">
        <v>153</v>
      </c>
      <c r="I144" s="189" t="s">
        <v>273</v>
      </c>
      <c r="J144" s="189" t="s">
        <v>689</v>
      </c>
      <c r="K144" s="190"/>
      <c r="L144" s="190"/>
      <c r="M144" s="191" t="s">
        <v>56</v>
      </c>
      <c r="N144" s="191" t="s">
        <v>255</v>
      </c>
      <c r="O144" s="188" t="s">
        <v>105</v>
      </c>
      <c r="P144" s="192"/>
      <c r="Q144" s="180">
        <v>1</v>
      </c>
      <c r="R144" s="192" t="s">
        <v>691</v>
      </c>
      <c r="S144" s="193"/>
      <c r="T144" s="193"/>
      <c r="U144" s="193">
        <v>255136364</v>
      </c>
      <c r="V144" s="193"/>
      <c r="W144" s="194"/>
      <c r="X144" s="194"/>
      <c r="Y144" s="194"/>
      <c r="Z144" s="194"/>
      <c r="AA144" s="194">
        <v>6000000</v>
      </c>
      <c r="AB144" s="194">
        <f t="shared" si="29"/>
        <v>6000000</v>
      </c>
      <c r="AC144" s="195">
        <f t="shared" si="30"/>
        <v>6000000</v>
      </c>
      <c r="AD144" s="196">
        <f t="shared" si="31"/>
        <v>6000000</v>
      </c>
      <c r="AE144" s="195"/>
      <c r="AF144" s="195"/>
      <c r="AG144" s="195"/>
      <c r="AH144" s="193"/>
      <c r="AI144" s="197"/>
      <c r="AJ144" s="198"/>
      <c r="AK144" s="188" t="s">
        <v>250</v>
      </c>
      <c r="AL144" s="181">
        <f>IF(E144&gt;=DATE(2026,4,1),IF(OR($AK144="Khách hàng thông thường",$AK144="Khách hàng chuyển đổi xe xăng"),IFERROR(VLOOKUP($M144,'[1]CSBH THƯỞNG XE'!$U$3:$YY$800,3,0),0),IF($AK144="Khách hàng Khối Quân đội - Công An",IFERROR(VLOOKUP($M144,'[1]CSBH THƯỞNG XE'!$U$3:$X$600,4,0),0),IF($AK144="Khách hàng Giờ trái đất",IFERROR(VLOOKUP($M144,'[1]CSBH THƯỞNG XE'!$U$3:$Y$700,5,0),0),0))),0)</f>
        <v>8500000</v>
      </c>
      <c r="AM144" s="181"/>
      <c r="AN144" s="181"/>
      <c r="AO144" s="182">
        <f t="shared" si="35"/>
        <v>2000000</v>
      </c>
      <c r="AP144" s="182">
        <f t="shared" si="40"/>
        <v>2000000</v>
      </c>
      <c r="AQ144" s="183">
        <f t="shared" si="41"/>
        <v>2000000</v>
      </c>
      <c r="AR144" s="182">
        <f t="shared" si="36"/>
        <v>0</v>
      </c>
      <c r="AS144" s="182">
        <f t="shared" si="37"/>
        <v>0</v>
      </c>
      <c r="AT144" s="182">
        <v>1250000</v>
      </c>
      <c r="AU144" s="182">
        <v>0</v>
      </c>
      <c r="AV144" s="199"/>
      <c r="AW144" s="285"/>
      <c r="AX144" s="285"/>
      <c r="AY144" s="266"/>
      <c r="AZ144" s="280"/>
      <c r="BA144" s="281" t="s">
        <v>1981</v>
      </c>
      <c r="BB144" s="282">
        <f>VLOOKUP(H144,[1]NVKD!$C$1:$M$3296,11,0)</f>
        <v>2</v>
      </c>
      <c r="BC144" s="281" t="s">
        <v>1984</v>
      </c>
      <c r="BD144" s="283" t="str">
        <f t="shared" si="38"/>
        <v>Showroom Quang Trung</v>
      </c>
      <c r="BF144" s="284">
        <f t="shared" si="39"/>
        <v>0.2</v>
      </c>
      <c r="BG144" s="284">
        <f>IFERROR(IF(Y144=0,0, IF(Y144 / VLOOKUP(M144,'[1]CSBH THƯỞNG XE'!$U$3:$AA$1100,7,FALSE) &lt; 0.5,0,MIN((Y144 / VLOOKUP(M144,'[1]CSBH THƯỞNG XE'!$U$3:$AA$1100,7,FALSE)) * 20%,20%))),0)</f>
        <v>0</v>
      </c>
      <c r="BI144" s="287"/>
    </row>
    <row r="145" spans="1:61" s="286" customFormat="1" ht="20.149999999999999" customHeight="1">
      <c r="A145" s="185">
        <v>46122</v>
      </c>
      <c r="B145" s="186">
        <f t="shared" si="32"/>
        <v>10</v>
      </c>
      <c r="C145" s="186">
        <f t="shared" si="33"/>
        <v>4</v>
      </c>
      <c r="D145" s="186">
        <f t="shared" si="34"/>
        <v>2026</v>
      </c>
      <c r="E145" s="185">
        <v>46133</v>
      </c>
      <c r="F145" s="187" t="s">
        <v>1207</v>
      </c>
      <c r="G145" s="188" t="s">
        <v>254</v>
      </c>
      <c r="H145" s="189" t="s">
        <v>466</v>
      </c>
      <c r="I145" s="189"/>
      <c r="J145" s="189" t="s">
        <v>731</v>
      </c>
      <c r="K145" s="190"/>
      <c r="L145" s="190"/>
      <c r="M145" s="191" t="s">
        <v>56</v>
      </c>
      <c r="N145" s="191" t="s">
        <v>255</v>
      </c>
      <c r="O145" s="188" t="s">
        <v>105</v>
      </c>
      <c r="P145" s="192"/>
      <c r="Q145" s="180">
        <v>1</v>
      </c>
      <c r="R145" s="192" t="s">
        <v>733</v>
      </c>
      <c r="S145" s="193"/>
      <c r="T145" s="193"/>
      <c r="U145" s="193">
        <v>258772727</v>
      </c>
      <c r="V145" s="193"/>
      <c r="W145" s="194"/>
      <c r="X145" s="194"/>
      <c r="Y145" s="194"/>
      <c r="Z145" s="194"/>
      <c r="AA145" s="194">
        <v>2000000</v>
      </c>
      <c r="AB145" s="194">
        <f t="shared" si="29"/>
        <v>2000000</v>
      </c>
      <c r="AC145" s="195">
        <f t="shared" si="30"/>
        <v>2000000</v>
      </c>
      <c r="AD145" s="196">
        <f t="shared" si="31"/>
        <v>2000000</v>
      </c>
      <c r="AE145" s="195"/>
      <c r="AF145" s="195"/>
      <c r="AG145" s="195"/>
      <c r="AH145" s="193"/>
      <c r="AI145" s="197"/>
      <c r="AJ145" s="198"/>
      <c r="AK145" s="188" t="s">
        <v>250</v>
      </c>
      <c r="AL145" s="181">
        <f>IF(E145&gt;=DATE(2026,4,1),IF(OR($AK145="Khách hàng thông thường",$AK145="Khách hàng chuyển đổi xe xăng"),IFERROR(VLOOKUP($M145,'[1]CSBH THƯỞNG XE'!$U$3:$YY$800,3,0),0),IF($AK145="Khách hàng Khối Quân đội - Công An",IFERROR(VLOOKUP($M145,'[1]CSBH THƯỞNG XE'!$U$3:$X$600,4,0),0),IF($AK145="Khách hàng Giờ trái đất",IFERROR(VLOOKUP($M145,'[1]CSBH THƯỞNG XE'!$U$3:$Y$700,5,0),0),0))),0)</f>
        <v>8500000</v>
      </c>
      <c r="AM145" s="181"/>
      <c r="AN145" s="181"/>
      <c r="AO145" s="182">
        <f t="shared" si="35"/>
        <v>5200000</v>
      </c>
      <c r="AP145" s="182">
        <f t="shared" si="40"/>
        <v>5200000</v>
      </c>
      <c r="AQ145" s="183">
        <f t="shared" si="41"/>
        <v>5200000</v>
      </c>
      <c r="AR145" s="182">
        <f t="shared" si="36"/>
        <v>0</v>
      </c>
      <c r="AS145" s="182">
        <f t="shared" si="37"/>
        <v>0</v>
      </c>
      <c r="AT145" s="182">
        <v>0</v>
      </c>
      <c r="AU145" s="182">
        <v>0</v>
      </c>
      <c r="AV145" s="199"/>
      <c r="AW145" s="285"/>
      <c r="AX145" s="285"/>
      <c r="AY145" s="266"/>
      <c r="AZ145" s="280"/>
      <c r="BA145" s="281">
        <v>0</v>
      </c>
      <c r="BB145" s="282">
        <f>VLOOKUP(H145,[1]NVKD!$C$1:$M$3296,11,0)</f>
        <v>4</v>
      </c>
      <c r="BC145" s="281" t="s">
        <v>1984</v>
      </c>
      <c r="BD145" s="283" t="str">
        <f t="shared" si="38"/>
        <v>Showroom Sala</v>
      </c>
      <c r="BF145" s="284">
        <f t="shared" si="39"/>
        <v>0.2</v>
      </c>
      <c r="BG145" s="284">
        <f>IFERROR(IF(Y145=0,0, IF(Y145 / VLOOKUP(M145,'[1]CSBH THƯỞNG XE'!$U$3:$AA$1100,7,FALSE) &lt; 0.5,0,MIN((Y145 / VLOOKUP(M145,'[1]CSBH THƯỞNG XE'!$U$3:$AA$1100,7,FALSE)) * 20%,20%))),0)</f>
        <v>0</v>
      </c>
      <c r="BI145" s="287"/>
    </row>
    <row r="146" spans="1:61" s="286" customFormat="1" ht="20.149999999999999" customHeight="1">
      <c r="A146" s="185">
        <v>46126</v>
      </c>
      <c r="B146" s="186">
        <f t="shared" si="32"/>
        <v>14</v>
      </c>
      <c r="C146" s="186">
        <f t="shared" si="33"/>
        <v>4</v>
      </c>
      <c r="D146" s="186">
        <f t="shared" si="34"/>
        <v>2026</v>
      </c>
      <c r="E146" s="185">
        <v>46133</v>
      </c>
      <c r="F146" s="187" t="s">
        <v>1208</v>
      </c>
      <c r="G146" s="188" t="s">
        <v>251</v>
      </c>
      <c r="H146" s="189" t="s">
        <v>158</v>
      </c>
      <c r="I146" s="189" t="s">
        <v>265</v>
      </c>
      <c r="J146" s="189" t="s">
        <v>635</v>
      </c>
      <c r="K146" s="190"/>
      <c r="L146" s="190"/>
      <c r="M146" s="191" t="s">
        <v>56</v>
      </c>
      <c r="N146" s="191" t="s">
        <v>255</v>
      </c>
      <c r="O146" s="188" t="s">
        <v>105</v>
      </c>
      <c r="P146" s="192"/>
      <c r="Q146" s="180">
        <v>1</v>
      </c>
      <c r="R146" s="192" t="s">
        <v>637</v>
      </c>
      <c r="S146" s="193"/>
      <c r="T146" s="193"/>
      <c r="U146" s="193">
        <v>269181818</v>
      </c>
      <c r="V146" s="193"/>
      <c r="W146" s="194"/>
      <c r="X146" s="194"/>
      <c r="Y146" s="194"/>
      <c r="Z146" s="194"/>
      <c r="AA146" s="194">
        <v>0</v>
      </c>
      <c r="AB146" s="194">
        <f t="shared" si="29"/>
        <v>0</v>
      </c>
      <c r="AC146" s="195">
        <f t="shared" si="30"/>
        <v>0</v>
      </c>
      <c r="AD146" s="196">
        <f t="shared" si="31"/>
        <v>0</v>
      </c>
      <c r="AE146" s="195"/>
      <c r="AF146" s="195"/>
      <c r="AG146" s="195"/>
      <c r="AH146" s="193"/>
      <c r="AI146" s="197"/>
      <c r="AJ146" s="198"/>
      <c r="AK146" s="188" t="s">
        <v>250</v>
      </c>
      <c r="AL146" s="181">
        <f>IF(E146&gt;=DATE(2026,4,1),IF(OR($AK146="Khách hàng thông thường",$AK146="Khách hàng chuyển đổi xe xăng"),IFERROR(VLOOKUP($M146,'[1]CSBH THƯỞNG XE'!$U$3:$YY$800,3,0),0),IF($AK146="Khách hàng Khối Quân đội - Công An",IFERROR(VLOOKUP($M146,'[1]CSBH THƯỞNG XE'!$U$3:$X$600,4,0),0),IF($AK146="Khách hàng Giờ trái đất",IFERROR(VLOOKUP($M146,'[1]CSBH THƯỞNG XE'!$U$3:$Y$700,5,0),0),0))),0)</f>
        <v>8500000</v>
      </c>
      <c r="AM146" s="181"/>
      <c r="AN146" s="181"/>
      <c r="AO146" s="182">
        <f t="shared" si="35"/>
        <v>5100000</v>
      </c>
      <c r="AP146" s="182">
        <f t="shared" si="40"/>
        <v>5100000</v>
      </c>
      <c r="AQ146" s="183">
        <f t="shared" si="41"/>
        <v>5100000</v>
      </c>
      <c r="AR146" s="182">
        <f t="shared" si="36"/>
        <v>0</v>
      </c>
      <c r="AS146" s="182">
        <f t="shared" si="37"/>
        <v>0</v>
      </c>
      <c r="AT146" s="182">
        <v>0</v>
      </c>
      <c r="AU146" s="182">
        <v>0</v>
      </c>
      <c r="AV146" s="199"/>
      <c r="AW146" s="285"/>
      <c r="AX146" s="285"/>
      <c r="AY146" s="266"/>
      <c r="AZ146" s="280"/>
      <c r="BA146" s="281" t="s">
        <v>1981</v>
      </c>
      <c r="BB146" s="282">
        <f>VLOOKUP(H146,[1]NVKD!$C$1:$M$3296,11,0)</f>
        <v>4</v>
      </c>
      <c r="BC146" s="281" t="s">
        <v>1982</v>
      </c>
      <c r="BD146" s="283" t="str">
        <f t="shared" si="38"/>
        <v>Showroom Tân An</v>
      </c>
      <c r="BF146" s="284">
        <f t="shared" si="39"/>
        <v>0</v>
      </c>
      <c r="BG146" s="284">
        <f>IFERROR(IF(Y146=0,0, IF(Y146 / VLOOKUP(M146,'[1]CSBH THƯỞNG XE'!$U$3:$AA$1100,7,FALSE) &lt; 0.5,0,MIN((Y146 / VLOOKUP(M146,'[1]CSBH THƯỞNG XE'!$U$3:$AA$1100,7,FALSE)) * 20%,20%))),0)</f>
        <v>0</v>
      </c>
      <c r="BI146" s="287"/>
    </row>
    <row r="147" spans="1:61" s="286" customFormat="1" ht="20.149999999999999" customHeight="1">
      <c r="A147" s="185">
        <v>46126</v>
      </c>
      <c r="B147" s="186">
        <f t="shared" si="32"/>
        <v>14</v>
      </c>
      <c r="C147" s="186">
        <f t="shared" si="33"/>
        <v>4</v>
      </c>
      <c r="D147" s="186">
        <f t="shared" si="34"/>
        <v>2026</v>
      </c>
      <c r="E147" s="185">
        <v>46133</v>
      </c>
      <c r="F147" s="187" t="s">
        <v>1209</v>
      </c>
      <c r="G147" s="188" t="s">
        <v>258</v>
      </c>
      <c r="H147" s="189" t="s">
        <v>144</v>
      </c>
      <c r="I147" s="189" t="s">
        <v>261</v>
      </c>
      <c r="J147" s="189" t="s">
        <v>1210</v>
      </c>
      <c r="K147" s="190"/>
      <c r="L147" s="190"/>
      <c r="M147" s="191" t="s">
        <v>257</v>
      </c>
      <c r="N147" s="191" t="s">
        <v>277</v>
      </c>
      <c r="O147" s="188" t="s">
        <v>53</v>
      </c>
      <c r="P147" s="192"/>
      <c r="Q147" s="180">
        <v>1</v>
      </c>
      <c r="R147" s="192" t="s">
        <v>793</v>
      </c>
      <c r="S147" s="193"/>
      <c r="T147" s="193"/>
      <c r="U147" s="193">
        <v>735454545</v>
      </c>
      <c r="V147" s="193"/>
      <c r="W147" s="194">
        <v>8090000</v>
      </c>
      <c r="X147" s="194"/>
      <c r="Y147" s="194"/>
      <c r="Z147" s="194"/>
      <c r="AA147" s="194">
        <v>10000000</v>
      </c>
      <c r="AB147" s="194">
        <f t="shared" si="29"/>
        <v>10000000</v>
      </c>
      <c r="AC147" s="195">
        <f t="shared" si="30"/>
        <v>10000000</v>
      </c>
      <c r="AD147" s="196">
        <f t="shared" si="31"/>
        <v>10000000</v>
      </c>
      <c r="AE147" s="195"/>
      <c r="AF147" s="195"/>
      <c r="AG147" s="195"/>
      <c r="AH147" s="193"/>
      <c r="AI147" s="197"/>
      <c r="AJ147" s="198"/>
      <c r="AK147" s="188" t="s">
        <v>250</v>
      </c>
      <c r="AL147" s="181">
        <f>IF(E147&gt;=DATE(2026,4,1),IF(OR($AK147="Khách hàng thông thường",$AK147="Khách hàng chuyển đổi xe xăng"),IFERROR(VLOOKUP($M147,'[1]CSBH THƯỞNG XE'!$U$3:$YY$800,3,0),0),IF($AK147="Khách hàng Khối Quân đội - Công An",IFERROR(VLOOKUP($M147,'[1]CSBH THƯỞNG XE'!$U$3:$X$600,4,0),0),IF($AK147="Khách hàng Giờ trái đất",IFERROR(VLOOKUP($M147,'[1]CSBH THƯỞNG XE'!$U$3:$Y$700,5,0),0),0))),0)</f>
        <v>20000000</v>
      </c>
      <c r="AM147" s="181"/>
      <c r="AN147" s="181"/>
      <c r="AO147" s="182">
        <f t="shared" si="35"/>
        <v>8000000</v>
      </c>
      <c r="AP147" s="182">
        <f t="shared" si="40"/>
        <v>8000000</v>
      </c>
      <c r="AQ147" s="183">
        <f t="shared" si="41"/>
        <v>8000000</v>
      </c>
      <c r="AR147" s="182">
        <f t="shared" si="36"/>
        <v>0</v>
      </c>
      <c r="AS147" s="182">
        <f t="shared" si="37"/>
        <v>0</v>
      </c>
      <c r="AT147" s="182">
        <v>0</v>
      </c>
      <c r="AU147" s="182">
        <v>8090000</v>
      </c>
      <c r="AV147" s="199"/>
      <c r="AW147" s="285"/>
      <c r="AX147" s="285"/>
      <c r="AY147" s="266"/>
      <c r="AZ147" s="280"/>
      <c r="BA147" s="281" t="s">
        <v>1981</v>
      </c>
      <c r="BB147" s="282">
        <f>VLOOKUP(H147,[1]NVKD!$C$1:$M$3296,11,0)</f>
        <v>4</v>
      </c>
      <c r="BC147" s="281" t="s">
        <v>1982</v>
      </c>
      <c r="BD147" s="283" t="str">
        <f t="shared" si="38"/>
        <v>Showroom 50 Nguyễn Văn Tăng</v>
      </c>
      <c r="BF147" s="284">
        <f t="shared" si="39"/>
        <v>0.2</v>
      </c>
      <c r="BG147" s="284">
        <f>IFERROR(IF(Y147=0,0, IF(Y147 / VLOOKUP(M147,'[1]CSBH THƯỞNG XE'!$U$3:$AA$1100,7,FALSE) &lt; 0.5,0,MIN((Y147 / VLOOKUP(M147,'[1]CSBH THƯỞNG XE'!$U$3:$AA$1100,7,FALSE)) * 20%,20%))),0)</f>
        <v>0</v>
      </c>
      <c r="BI147" s="287"/>
    </row>
    <row r="148" spans="1:61" s="286" customFormat="1" ht="20.149999999999999" customHeight="1">
      <c r="A148" s="185">
        <v>46132</v>
      </c>
      <c r="B148" s="186">
        <f t="shared" si="32"/>
        <v>20</v>
      </c>
      <c r="C148" s="186">
        <f t="shared" si="33"/>
        <v>4</v>
      </c>
      <c r="D148" s="186">
        <f t="shared" si="34"/>
        <v>2026</v>
      </c>
      <c r="E148" s="185">
        <v>46133</v>
      </c>
      <c r="F148" s="187" t="s">
        <v>1211</v>
      </c>
      <c r="G148" s="188" t="s">
        <v>258</v>
      </c>
      <c r="H148" s="189" t="s">
        <v>801</v>
      </c>
      <c r="I148" s="189" t="s">
        <v>282</v>
      </c>
      <c r="J148" s="189" t="s">
        <v>1212</v>
      </c>
      <c r="K148" s="190"/>
      <c r="L148" s="190"/>
      <c r="M148" s="191" t="s">
        <v>56</v>
      </c>
      <c r="N148" s="191" t="s">
        <v>269</v>
      </c>
      <c r="O148" s="188" t="s">
        <v>140</v>
      </c>
      <c r="P148" s="192"/>
      <c r="Q148" s="180">
        <v>1</v>
      </c>
      <c r="R148" s="192" t="s">
        <v>804</v>
      </c>
      <c r="S148" s="193"/>
      <c r="T148" s="193"/>
      <c r="U148" s="193">
        <v>276018182</v>
      </c>
      <c r="V148" s="193"/>
      <c r="W148" s="194"/>
      <c r="X148" s="194"/>
      <c r="Y148" s="194"/>
      <c r="Z148" s="194"/>
      <c r="AA148" s="194">
        <v>0</v>
      </c>
      <c r="AB148" s="194">
        <f t="shared" si="29"/>
        <v>0</v>
      </c>
      <c r="AC148" s="195">
        <f t="shared" si="30"/>
        <v>0</v>
      </c>
      <c r="AD148" s="196">
        <f t="shared" si="31"/>
        <v>0</v>
      </c>
      <c r="AE148" s="195"/>
      <c r="AF148" s="195"/>
      <c r="AG148" s="195"/>
      <c r="AH148" s="193"/>
      <c r="AI148" s="197"/>
      <c r="AJ148" s="198"/>
      <c r="AK148" s="188" t="s">
        <v>250</v>
      </c>
      <c r="AL148" s="181">
        <f>IF(E148&gt;=DATE(2026,4,1),IF(OR($AK148="Khách hàng thông thường",$AK148="Khách hàng chuyển đổi xe xăng"),IFERROR(VLOOKUP($M148,'[1]CSBH THƯỞNG XE'!$U$3:$YY$800,3,0),0),IF($AK148="Khách hàng Khối Quân đội - Công An",IFERROR(VLOOKUP($M148,'[1]CSBH THƯỞNG XE'!$U$3:$X$600,4,0),0),IF($AK148="Khách hàng Giờ trái đất",IFERROR(VLOOKUP($M148,'[1]CSBH THƯỞNG XE'!$U$3:$Y$700,5,0),0),0))),0)</f>
        <v>8500000</v>
      </c>
      <c r="AM148" s="181"/>
      <c r="AN148" s="181"/>
      <c r="AO148" s="182">
        <f t="shared" si="35"/>
        <v>6800000</v>
      </c>
      <c r="AP148" s="182">
        <f t="shared" si="40"/>
        <v>6800000</v>
      </c>
      <c r="AQ148" s="183">
        <f t="shared" si="41"/>
        <v>6800000</v>
      </c>
      <c r="AR148" s="182">
        <f t="shared" si="36"/>
        <v>0</v>
      </c>
      <c r="AS148" s="182">
        <f t="shared" si="37"/>
        <v>0</v>
      </c>
      <c r="AT148" s="182">
        <v>0</v>
      </c>
      <c r="AU148" s="182">
        <v>0</v>
      </c>
      <c r="AV148" s="199"/>
      <c r="AW148" s="285"/>
      <c r="AX148" s="285"/>
      <c r="AY148" s="266"/>
      <c r="AZ148" s="280"/>
      <c r="BA148" s="281" t="s">
        <v>1981</v>
      </c>
      <c r="BB148" s="282">
        <f>VLOOKUP(H148,[1]NVKD!$C$1:$M$3296,11,0)</f>
        <v>1</v>
      </c>
      <c r="BC148" s="281" t="s">
        <v>1984</v>
      </c>
      <c r="BD148" s="283" t="str">
        <f t="shared" si="38"/>
        <v>Showroom 50 Nguyễn Văn Tăng</v>
      </c>
      <c r="BF148" s="284">
        <f t="shared" si="39"/>
        <v>0.2</v>
      </c>
      <c r="BG148" s="284">
        <f>IFERROR(IF(Y148=0,0, IF(Y148 / VLOOKUP(M148,'[1]CSBH THƯỞNG XE'!$U$3:$AA$1100,7,FALSE) &lt; 0.5,0,MIN((Y148 / VLOOKUP(M148,'[1]CSBH THƯỞNG XE'!$U$3:$AA$1100,7,FALSE)) * 20%,20%))),0)</f>
        <v>0</v>
      </c>
      <c r="BI148" s="287"/>
    </row>
    <row r="149" spans="1:61" s="286" customFormat="1" ht="20.149999999999999" customHeight="1">
      <c r="A149" s="185">
        <v>46132</v>
      </c>
      <c r="B149" s="186">
        <f t="shared" si="32"/>
        <v>20</v>
      </c>
      <c r="C149" s="186">
        <f t="shared" si="33"/>
        <v>4</v>
      </c>
      <c r="D149" s="186">
        <f t="shared" si="34"/>
        <v>2026</v>
      </c>
      <c r="E149" s="185">
        <v>46133</v>
      </c>
      <c r="F149" s="187" t="s">
        <v>1213</v>
      </c>
      <c r="G149" s="188" t="s">
        <v>246</v>
      </c>
      <c r="H149" s="189" t="s">
        <v>175</v>
      </c>
      <c r="I149" s="189" t="s">
        <v>247</v>
      </c>
      <c r="J149" s="189" t="s">
        <v>852</v>
      </c>
      <c r="K149" s="190"/>
      <c r="L149" s="190"/>
      <c r="M149" s="191" t="s">
        <v>257</v>
      </c>
      <c r="N149" s="191" t="s">
        <v>1214</v>
      </c>
      <c r="O149" s="188" t="s">
        <v>53</v>
      </c>
      <c r="P149" s="192"/>
      <c r="Q149" s="180">
        <v>1</v>
      </c>
      <c r="R149" s="192" t="s">
        <v>854</v>
      </c>
      <c r="S149" s="193"/>
      <c r="T149" s="193"/>
      <c r="U149" s="193">
        <v>677536364</v>
      </c>
      <c r="V149" s="193"/>
      <c r="W149" s="194"/>
      <c r="X149" s="194"/>
      <c r="Y149" s="194"/>
      <c r="Z149" s="194"/>
      <c r="AA149" s="194">
        <v>0</v>
      </c>
      <c r="AB149" s="194">
        <f t="shared" si="29"/>
        <v>0</v>
      </c>
      <c r="AC149" s="195">
        <f t="shared" si="30"/>
        <v>0</v>
      </c>
      <c r="AD149" s="196">
        <f t="shared" si="31"/>
        <v>0</v>
      </c>
      <c r="AE149" s="195"/>
      <c r="AF149" s="195"/>
      <c r="AG149" s="195"/>
      <c r="AH149" s="193"/>
      <c r="AI149" s="197"/>
      <c r="AJ149" s="198"/>
      <c r="AK149" s="188" t="s">
        <v>250</v>
      </c>
      <c r="AL149" s="181">
        <f>IF(E149&gt;=DATE(2026,4,1),IF(OR($AK149="Khách hàng thông thường",$AK149="Khách hàng chuyển đổi xe xăng"),IFERROR(VLOOKUP($M149,'[1]CSBH THƯỞNG XE'!$U$3:$YY$800,3,0),0),IF($AK149="Khách hàng Khối Quân đội - Công An",IFERROR(VLOOKUP($M149,'[1]CSBH THƯỞNG XE'!$U$3:$X$600,4,0),0),IF($AK149="Khách hàng Giờ trái đất",IFERROR(VLOOKUP($M149,'[1]CSBH THƯỞNG XE'!$U$3:$Y$700,5,0),0),0))),0)</f>
        <v>20000000</v>
      </c>
      <c r="AM149" s="181"/>
      <c r="AN149" s="181"/>
      <c r="AO149" s="182">
        <f t="shared" si="35"/>
        <v>16000000</v>
      </c>
      <c r="AP149" s="182">
        <f t="shared" si="40"/>
        <v>16000000</v>
      </c>
      <c r="AQ149" s="183">
        <f t="shared" si="41"/>
        <v>16000000</v>
      </c>
      <c r="AR149" s="182">
        <f t="shared" si="36"/>
        <v>0</v>
      </c>
      <c r="AS149" s="182">
        <f t="shared" si="37"/>
        <v>0</v>
      </c>
      <c r="AT149" s="182">
        <v>0</v>
      </c>
      <c r="AU149" s="182">
        <v>0</v>
      </c>
      <c r="AV149" s="199"/>
      <c r="AW149" s="285"/>
      <c r="AX149" s="285"/>
      <c r="AY149" s="266"/>
      <c r="AZ149" s="280"/>
      <c r="BA149" s="281" t="s">
        <v>1981</v>
      </c>
      <c r="BB149" s="282">
        <f>VLOOKUP(H149,[1]NVKD!$C$1:$M$3296,11,0)</f>
        <v>3</v>
      </c>
      <c r="BC149" s="281" t="s">
        <v>1984</v>
      </c>
      <c r="BD149" s="283" t="str">
        <f t="shared" si="38"/>
        <v>Showroom Bến Lức</v>
      </c>
      <c r="BF149" s="284">
        <f t="shared" si="39"/>
        <v>0.2</v>
      </c>
      <c r="BG149" s="284">
        <f>IFERROR(IF(Y149=0,0, IF(Y149 / VLOOKUP(M149,'[1]CSBH THƯỞNG XE'!$U$3:$AA$1100,7,FALSE) &lt; 0.5,0,MIN((Y149 / VLOOKUP(M149,'[1]CSBH THƯỞNG XE'!$U$3:$AA$1100,7,FALSE)) * 20%,20%))),0)</f>
        <v>0</v>
      </c>
      <c r="BI149" s="287"/>
    </row>
    <row r="150" spans="1:61" s="286" customFormat="1" ht="20.149999999999999" customHeight="1">
      <c r="A150" s="185">
        <v>46125</v>
      </c>
      <c r="B150" s="186">
        <f t="shared" si="32"/>
        <v>13</v>
      </c>
      <c r="C150" s="186">
        <f t="shared" si="33"/>
        <v>4</v>
      </c>
      <c r="D150" s="186">
        <f t="shared" si="34"/>
        <v>2026</v>
      </c>
      <c r="E150" s="185">
        <v>46133</v>
      </c>
      <c r="F150" s="187" t="s">
        <v>1215</v>
      </c>
      <c r="G150" s="188" t="s">
        <v>258</v>
      </c>
      <c r="H150" s="189" t="s">
        <v>194</v>
      </c>
      <c r="I150" s="189" t="s">
        <v>259</v>
      </c>
      <c r="J150" s="189" t="s">
        <v>1216</v>
      </c>
      <c r="K150" s="190"/>
      <c r="L150" s="190"/>
      <c r="M150" s="191" t="s">
        <v>1034</v>
      </c>
      <c r="N150" s="191" t="s">
        <v>260</v>
      </c>
      <c r="O150" s="188" t="s">
        <v>587</v>
      </c>
      <c r="P150" s="192"/>
      <c r="Q150" s="180">
        <v>1</v>
      </c>
      <c r="R150" s="192" t="s">
        <v>807</v>
      </c>
      <c r="S150" s="193"/>
      <c r="T150" s="193"/>
      <c r="U150" s="193">
        <v>606490909</v>
      </c>
      <c r="V150" s="193"/>
      <c r="W150" s="194">
        <v>7135386</v>
      </c>
      <c r="X150" s="194"/>
      <c r="Y150" s="194"/>
      <c r="Z150" s="194"/>
      <c r="AA150" s="194">
        <v>0</v>
      </c>
      <c r="AB150" s="194">
        <f t="shared" si="29"/>
        <v>0</v>
      </c>
      <c r="AC150" s="195">
        <f t="shared" si="30"/>
        <v>0</v>
      </c>
      <c r="AD150" s="196">
        <f t="shared" si="31"/>
        <v>0</v>
      </c>
      <c r="AE150" s="195"/>
      <c r="AF150" s="195"/>
      <c r="AG150" s="195"/>
      <c r="AH150" s="193"/>
      <c r="AI150" s="197"/>
      <c r="AJ150" s="198"/>
      <c r="AK150" s="42" t="s">
        <v>271</v>
      </c>
      <c r="AL150" s="181">
        <f>IF(E150&gt;=DATE(2026,4,1),IF(OR($AK150="Khách hàng thông thường",$AK150="Khách hàng chuyển đổi xe xăng"),IFERROR(VLOOKUP($M150,'[1]CSBH THƯỞNG XE'!$U$3:$YY$800,3,0),0),IF($AK150="Khách hàng Khối Quân đội - Công An",IFERROR(VLOOKUP($M150,'[1]CSBH THƯỞNG XE'!$U$3:$X$600,4,0),0),IF($AK150="Khách hàng Giờ trái đất",IFERROR(VLOOKUP($M150,'[1]CSBH THƯỞNG XE'!$U$3:$Y$700,5,0),0),0))),0)</f>
        <v>14000000</v>
      </c>
      <c r="AM150" s="181"/>
      <c r="AN150" s="181"/>
      <c r="AO150" s="182">
        <f t="shared" si="35"/>
        <v>11200000</v>
      </c>
      <c r="AP150" s="182">
        <f t="shared" si="40"/>
        <v>11200000</v>
      </c>
      <c r="AQ150" s="183">
        <f t="shared" si="41"/>
        <v>11200000</v>
      </c>
      <c r="AR150" s="182">
        <f t="shared" si="36"/>
        <v>0</v>
      </c>
      <c r="AS150" s="182">
        <f t="shared" si="37"/>
        <v>0</v>
      </c>
      <c r="AT150" s="182">
        <v>0</v>
      </c>
      <c r="AU150" s="182">
        <v>7135386</v>
      </c>
      <c r="AV150" s="199"/>
      <c r="AW150" s="285"/>
      <c r="AX150" s="285"/>
      <c r="AY150" s="266"/>
      <c r="AZ150" s="280"/>
      <c r="BA150" s="281" t="s">
        <v>1981</v>
      </c>
      <c r="BB150" s="282">
        <f>VLOOKUP(H150,[1]NVKD!$C$1:$M$3296,11,0)</f>
        <v>6</v>
      </c>
      <c r="BC150" s="281" t="s">
        <v>1984</v>
      </c>
      <c r="BD150" s="283" t="str">
        <f t="shared" si="38"/>
        <v>Showroom 50 Nguyễn Văn Tăng</v>
      </c>
      <c r="BF150" s="284">
        <f t="shared" si="39"/>
        <v>0.2</v>
      </c>
      <c r="BG150" s="284">
        <f>IFERROR(IF(Y150=0,0, IF(Y150 / VLOOKUP(M150,'[1]CSBH THƯỞNG XE'!$U$3:$AA$1100,7,FALSE) &lt; 0.5,0,MIN((Y150 / VLOOKUP(M150,'[1]CSBH THƯỞNG XE'!$U$3:$AA$1100,7,FALSE)) * 20%,20%))),0)</f>
        <v>0</v>
      </c>
      <c r="BI150" s="287"/>
    </row>
    <row r="151" spans="1:61" s="286" customFormat="1" ht="20.149999999999999" customHeight="1">
      <c r="A151" s="185">
        <v>46128</v>
      </c>
      <c r="B151" s="186">
        <f t="shared" si="32"/>
        <v>16</v>
      </c>
      <c r="C151" s="186">
        <f t="shared" si="33"/>
        <v>4</v>
      </c>
      <c r="D151" s="186">
        <f t="shared" si="34"/>
        <v>2026</v>
      </c>
      <c r="E151" s="185">
        <v>46134</v>
      </c>
      <c r="F151" s="187" t="s">
        <v>1217</v>
      </c>
      <c r="G151" s="188" t="s">
        <v>246</v>
      </c>
      <c r="H151" s="189" t="s">
        <v>132</v>
      </c>
      <c r="I151" s="189" t="s">
        <v>247</v>
      </c>
      <c r="J151" s="189" t="s">
        <v>855</v>
      </c>
      <c r="K151" s="190"/>
      <c r="L151" s="190"/>
      <c r="M151" s="191" t="s">
        <v>257</v>
      </c>
      <c r="N151" s="191" t="s">
        <v>255</v>
      </c>
      <c r="O151" s="188" t="s">
        <v>53</v>
      </c>
      <c r="P151" s="192"/>
      <c r="Q151" s="180">
        <v>1</v>
      </c>
      <c r="R151" s="192" t="s">
        <v>857</v>
      </c>
      <c r="S151" s="193"/>
      <c r="T151" s="193"/>
      <c r="U151" s="193">
        <v>690781818</v>
      </c>
      <c r="V151" s="193"/>
      <c r="W151" s="194"/>
      <c r="X151" s="194"/>
      <c r="Y151" s="194"/>
      <c r="Z151" s="194"/>
      <c r="AA151" s="194">
        <v>10000000</v>
      </c>
      <c r="AB151" s="194">
        <f t="shared" si="29"/>
        <v>10000000</v>
      </c>
      <c r="AC151" s="195">
        <f t="shared" si="30"/>
        <v>10000000</v>
      </c>
      <c r="AD151" s="196">
        <f t="shared" si="31"/>
        <v>10000000</v>
      </c>
      <c r="AE151" s="195"/>
      <c r="AF151" s="195"/>
      <c r="AG151" s="195"/>
      <c r="AH151" s="193"/>
      <c r="AI151" s="197"/>
      <c r="AJ151" s="198"/>
      <c r="AK151" s="188" t="s">
        <v>250</v>
      </c>
      <c r="AL151" s="181">
        <f>IF(E151&gt;=DATE(2026,4,1),IF(OR($AK151="Khách hàng thông thường",$AK151="Khách hàng chuyển đổi xe xăng"),IFERROR(VLOOKUP($M151,'[1]CSBH THƯỞNG XE'!$U$3:$YY$800,3,0),0),IF($AK151="Khách hàng Khối Quân đội - Công An",IFERROR(VLOOKUP($M151,'[1]CSBH THƯỞNG XE'!$U$3:$X$600,4,0),0),IF($AK151="Khách hàng Giờ trái đất",IFERROR(VLOOKUP($M151,'[1]CSBH THƯỞNG XE'!$U$3:$Y$700,5,0),0),0))),0)</f>
        <v>20000000</v>
      </c>
      <c r="AM151" s="181"/>
      <c r="AN151" s="181"/>
      <c r="AO151" s="182">
        <f t="shared" si="35"/>
        <v>8000000</v>
      </c>
      <c r="AP151" s="182">
        <f t="shared" si="40"/>
        <v>8000000</v>
      </c>
      <c r="AQ151" s="183">
        <f t="shared" si="41"/>
        <v>8000000</v>
      </c>
      <c r="AR151" s="182">
        <f t="shared" si="36"/>
        <v>0</v>
      </c>
      <c r="AS151" s="182">
        <f t="shared" si="37"/>
        <v>0</v>
      </c>
      <c r="AT151" s="182">
        <v>0</v>
      </c>
      <c r="AU151" s="182">
        <v>0</v>
      </c>
      <c r="AV151" s="199"/>
      <c r="AW151" s="285"/>
      <c r="AX151" s="285"/>
      <c r="AY151" s="266"/>
      <c r="AZ151" s="280"/>
      <c r="BA151" s="281" t="s">
        <v>1981</v>
      </c>
      <c r="BB151" s="282">
        <f>VLOOKUP(H151,[1]NVKD!$C$1:$M$3296,11,0)</f>
        <v>10</v>
      </c>
      <c r="BC151" s="281" t="s">
        <v>1984</v>
      </c>
      <c r="BD151" s="283" t="str">
        <f t="shared" si="38"/>
        <v>Showroom Bến Lức</v>
      </c>
      <c r="BF151" s="284">
        <f t="shared" si="39"/>
        <v>0.2</v>
      </c>
      <c r="BG151" s="284">
        <f>IFERROR(IF(Y151=0,0, IF(Y151 / VLOOKUP(M151,'[1]CSBH THƯỞNG XE'!$U$3:$AA$1100,7,FALSE) &lt; 0.5,0,MIN((Y151 / VLOOKUP(M151,'[1]CSBH THƯỞNG XE'!$U$3:$AA$1100,7,FALSE)) * 20%,20%))),0)</f>
        <v>0</v>
      </c>
      <c r="BI151" s="287"/>
    </row>
    <row r="152" spans="1:61" s="286" customFormat="1" ht="20.149999999999999" customHeight="1">
      <c r="A152" s="185">
        <v>46129</v>
      </c>
      <c r="B152" s="186">
        <f t="shared" si="32"/>
        <v>17</v>
      </c>
      <c r="C152" s="186">
        <f t="shared" si="33"/>
        <v>4</v>
      </c>
      <c r="D152" s="186">
        <f t="shared" si="34"/>
        <v>2026</v>
      </c>
      <c r="E152" s="185">
        <v>46134</v>
      </c>
      <c r="F152" s="187" t="s">
        <v>1218</v>
      </c>
      <c r="G152" s="188" t="s">
        <v>258</v>
      </c>
      <c r="H152" s="189" t="s">
        <v>188</v>
      </c>
      <c r="I152" s="189" t="s">
        <v>259</v>
      </c>
      <c r="J152" s="189" t="s">
        <v>1219</v>
      </c>
      <c r="K152" s="190"/>
      <c r="L152" s="190"/>
      <c r="M152" s="191" t="s">
        <v>56</v>
      </c>
      <c r="N152" s="191" t="s">
        <v>262</v>
      </c>
      <c r="O152" s="188" t="s">
        <v>140</v>
      </c>
      <c r="P152" s="192"/>
      <c r="Q152" s="180">
        <v>1</v>
      </c>
      <c r="R152" s="192" t="s">
        <v>810</v>
      </c>
      <c r="S152" s="193"/>
      <c r="T152" s="193"/>
      <c r="U152" s="193">
        <v>254863636</v>
      </c>
      <c r="V152" s="193"/>
      <c r="W152" s="194"/>
      <c r="X152" s="194"/>
      <c r="Y152" s="194"/>
      <c r="Z152" s="194"/>
      <c r="AA152" s="194">
        <v>0</v>
      </c>
      <c r="AB152" s="194">
        <f t="shared" si="29"/>
        <v>0</v>
      </c>
      <c r="AC152" s="195">
        <f t="shared" si="30"/>
        <v>0</v>
      </c>
      <c r="AD152" s="196">
        <f t="shared" si="31"/>
        <v>0</v>
      </c>
      <c r="AE152" s="195"/>
      <c r="AF152" s="195"/>
      <c r="AG152" s="195"/>
      <c r="AH152" s="193"/>
      <c r="AI152" s="197"/>
      <c r="AJ152" s="198"/>
      <c r="AK152" s="42" t="s">
        <v>271</v>
      </c>
      <c r="AL152" s="181">
        <f>IF(E152&gt;=DATE(2026,4,1),IF(OR($AK152="Khách hàng thông thường",$AK152="Khách hàng chuyển đổi xe xăng"),IFERROR(VLOOKUP($M152,'[1]CSBH THƯỞNG XE'!$U$3:$YY$800,3,0),0),IF($AK152="Khách hàng Khối Quân đội - Công An",IFERROR(VLOOKUP($M152,'[1]CSBH THƯỞNG XE'!$U$3:$X$600,4,0),0),IF($AK152="Khách hàng Giờ trái đất",IFERROR(VLOOKUP($M152,'[1]CSBH THƯỞNG XE'!$U$3:$Y$700,5,0),0),0))),0)</f>
        <v>4250000</v>
      </c>
      <c r="AM152" s="181"/>
      <c r="AN152" s="181"/>
      <c r="AO152" s="182">
        <f t="shared" si="35"/>
        <v>3400000</v>
      </c>
      <c r="AP152" s="182">
        <f t="shared" si="40"/>
        <v>3400000</v>
      </c>
      <c r="AQ152" s="183">
        <f t="shared" si="41"/>
        <v>3400000</v>
      </c>
      <c r="AR152" s="182">
        <f t="shared" si="36"/>
        <v>0</v>
      </c>
      <c r="AS152" s="182">
        <f t="shared" si="37"/>
        <v>0</v>
      </c>
      <c r="AT152" s="182">
        <v>0</v>
      </c>
      <c r="AU152" s="182">
        <v>0</v>
      </c>
      <c r="AV152" s="199"/>
      <c r="AW152" s="285"/>
      <c r="AX152" s="285"/>
      <c r="AY152" s="266"/>
      <c r="AZ152" s="280"/>
      <c r="BA152" s="281" t="s">
        <v>1981</v>
      </c>
      <c r="BB152" s="282">
        <f>VLOOKUP(H152,[1]NVKD!$C$1:$M$3296,11,0)</f>
        <v>6</v>
      </c>
      <c r="BC152" s="281" t="s">
        <v>1984</v>
      </c>
      <c r="BD152" s="283" t="str">
        <f t="shared" si="38"/>
        <v>Showroom 50 Nguyễn Văn Tăng</v>
      </c>
      <c r="BF152" s="284">
        <f t="shared" si="39"/>
        <v>0.2</v>
      </c>
      <c r="BG152" s="284">
        <f>IFERROR(IF(Y152=0,0, IF(Y152 / VLOOKUP(M152,'[1]CSBH THƯỞNG XE'!$U$3:$AA$1100,7,FALSE) &lt; 0.5,0,MIN((Y152 / VLOOKUP(M152,'[1]CSBH THƯỞNG XE'!$U$3:$AA$1100,7,FALSE)) * 20%,20%))),0)</f>
        <v>0</v>
      </c>
      <c r="BI152" s="287"/>
    </row>
    <row r="153" spans="1:61" s="286" customFormat="1" ht="20.149999999999999" customHeight="1">
      <c r="A153" s="185">
        <v>46122</v>
      </c>
      <c r="B153" s="186">
        <f t="shared" si="32"/>
        <v>10</v>
      </c>
      <c r="C153" s="186">
        <f t="shared" si="33"/>
        <v>4</v>
      </c>
      <c r="D153" s="186">
        <f t="shared" si="34"/>
        <v>2026</v>
      </c>
      <c r="E153" s="185">
        <v>46134</v>
      </c>
      <c r="F153" s="187" t="s">
        <v>1220</v>
      </c>
      <c r="G153" s="188" t="s">
        <v>246</v>
      </c>
      <c r="H153" s="189" t="s">
        <v>157</v>
      </c>
      <c r="I153" s="189" t="s">
        <v>247</v>
      </c>
      <c r="J153" s="189" t="s">
        <v>858</v>
      </c>
      <c r="K153" s="190"/>
      <c r="L153" s="190"/>
      <c r="M153" s="191" t="s">
        <v>114</v>
      </c>
      <c r="N153" s="191" t="s">
        <v>248</v>
      </c>
      <c r="O153" s="188" t="s">
        <v>52</v>
      </c>
      <c r="P153" s="192"/>
      <c r="Q153" s="180">
        <v>1</v>
      </c>
      <c r="R153" s="192" t="s">
        <v>860</v>
      </c>
      <c r="S153" s="193"/>
      <c r="T153" s="193"/>
      <c r="U153" s="193">
        <v>610536364</v>
      </c>
      <c r="V153" s="193"/>
      <c r="W153" s="194"/>
      <c r="X153" s="194"/>
      <c r="Y153" s="194"/>
      <c r="Z153" s="194"/>
      <c r="AA153" s="194">
        <v>10000000</v>
      </c>
      <c r="AB153" s="194">
        <f t="shared" si="29"/>
        <v>10000000</v>
      </c>
      <c r="AC153" s="195">
        <f t="shared" si="30"/>
        <v>10000000</v>
      </c>
      <c r="AD153" s="196">
        <f t="shared" si="31"/>
        <v>10000000</v>
      </c>
      <c r="AE153" s="195"/>
      <c r="AF153" s="195"/>
      <c r="AG153" s="195"/>
      <c r="AH153" s="193"/>
      <c r="AI153" s="197"/>
      <c r="AJ153" s="198"/>
      <c r="AK153" s="188" t="s">
        <v>250</v>
      </c>
      <c r="AL153" s="181">
        <f>IF(E153&gt;=DATE(2026,4,1),IF(OR($AK153="Khách hàng thông thường",$AK153="Khách hàng chuyển đổi xe xăng"),IFERROR(VLOOKUP($M153,'[1]CSBH THƯỞNG XE'!$U$3:$YY$800,3,0),0),IF($AK153="Khách hàng Khối Quân đội - Công An",IFERROR(VLOOKUP($M153,'[1]CSBH THƯỞNG XE'!$U$3:$X$600,4,0),0),IF($AK153="Khách hàng Giờ trái đất",IFERROR(VLOOKUP($M153,'[1]CSBH THƯỞNG XE'!$U$3:$Y$700,5,0),0),0))),0)</f>
        <v>19000000</v>
      </c>
      <c r="AM153" s="181"/>
      <c r="AN153" s="181"/>
      <c r="AO153" s="182">
        <f t="shared" si="35"/>
        <v>7200000</v>
      </c>
      <c r="AP153" s="182">
        <f t="shared" si="40"/>
        <v>7200000</v>
      </c>
      <c r="AQ153" s="183">
        <f t="shared" si="41"/>
        <v>10200000</v>
      </c>
      <c r="AR153" s="182">
        <f t="shared" si="36"/>
        <v>0</v>
      </c>
      <c r="AS153" s="182">
        <f t="shared" si="37"/>
        <v>3000000</v>
      </c>
      <c r="AT153" s="182">
        <v>0</v>
      </c>
      <c r="AU153" s="182">
        <v>0</v>
      </c>
      <c r="AV153" s="199"/>
      <c r="AW153" s="285"/>
      <c r="AX153" s="285"/>
      <c r="AY153" s="266"/>
      <c r="AZ153" s="280"/>
      <c r="BA153" s="281" t="s">
        <v>1981</v>
      </c>
      <c r="BB153" s="282">
        <f>VLOOKUP(H153,[1]NVKD!$C$1:$M$3296,11,0)</f>
        <v>3</v>
      </c>
      <c r="BC153" s="281" t="s">
        <v>1984</v>
      </c>
      <c r="BD153" s="283" t="str">
        <f t="shared" si="38"/>
        <v>Showroom Bến Lức</v>
      </c>
      <c r="BF153" s="284">
        <f t="shared" si="39"/>
        <v>0.2</v>
      </c>
      <c r="BG153" s="284">
        <f>IFERROR(IF(Y153=0,0, IF(Y153 / VLOOKUP(M153,'[1]CSBH THƯỞNG XE'!$U$3:$AA$1100,7,FALSE) &lt; 0.5,0,MIN((Y153 / VLOOKUP(M153,'[1]CSBH THƯỞNG XE'!$U$3:$AA$1100,7,FALSE)) * 20%,20%))),0)</f>
        <v>0</v>
      </c>
      <c r="BI153" s="287"/>
    </row>
    <row r="154" spans="1:61" s="286" customFormat="1" ht="20.149999999999999" customHeight="1">
      <c r="A154" s="185">
        <v>46129</v>
      </c>
      <c r="B154" s="186">
        <f t="shared" si="32"/>
        <v>17</v>
      </c>
      <c r="C154" s="186">
        <f t="shared" si="33"/>
        <v>4</v>
      </c>
      <c r="D154" s="186">
        <f t="shared" si="34"/>
        <v>2026</v>
      </c>
      <c r="E154" s="185">
        <v>46135</v>
      </c>
      <c r="F154" s="187" t="s">
        <v>1221</v>
      </c>
      <c r="G154" s="188" t="s">
        <v>263</v>
      </c>
      <c r="H154" s="189" t="s">
        <v>183</v>
      </c>
      <c r="I154" s="189" t="s">
        <v>264</v>
      </c>
      <c r="J154" s="189" t="s">
        <v>149</v>
      </c>
      <c r="K154" s="190"/>
      <c r="L154" s="190"/>
      <c r="M154" s="191" t="s">
        <v>257</v>
      </c>
      <c r="N154" s="191" t="s">
        <v>255</v>
      </c>
      <c r="O154" s="188" t="s">
        <v>168</v>
      </c>
      <c r="P154" s="192"/>
      <c r="Q154" s="180">
        <v>1</v>
      </c>
      <c r="R154" s="192" t="s">
        <v>744</v>
      </c>
      <c r="S154" s="193"/>
      <c r="T154" s="193"/>
      <c r="U154" s="193">
        <v>663900000</v>
      </c>
      <c r="V154" s="193"/>
      <c r="W154" s="194"/>
      <c r="X154" s="194"/>
      <c r="Y154" s="194"/>
      <c r="Z154" s="194"/>
      <c r="AA154" s="194">
        <v>15000000</v>
      </c>
      <c r="AB154" s="194">
        <f t="shared" si="29"/>
        <v>15000000</v>
      </c>
      <c r="AC154" s="195">
        <f t="shared" si="30"/>
        <v>15000000</v>
      </c>
      <c r="AD154" s="196">
        <f t="shared" si="31"/>
        <v>15000000</v>
      </c>
      <c r="AE154" s="195"/>
      <c r="AF154" s="195"/>
      <c r="AG154" s="195"/>
      <c r="AH154" s="193"/>
      <c r="AI154" s="197"/>
      <c r="AJ154" s="198"/>
      <c r="AK154" s="188" t="s">
        <v>250</v>
      </c>
      <c r="AL154" s="181">
        <f>IF(E154&gt;=DATE(2026,4,1),IF(OR($AK154="Khách hàng thông thường",$AK154="Khách hàng chuyển đổi xe xăng"),IFERROR(VLOOKUP($M154,'[1]CSBH THƯỞNG XE'!$U$3:$YY$800,3,0),0),IF($AK154="Khách hàng Khối Quân đội - Công An",IFERROR(VLOOKUP($M154,'[1]CSBH THƯỞNG XE'!$U$3:$X$600,4,0),0),IF($AK154="Khách hàng Giờ trái đất",IFERROR(VLOOKUP($M154,'[1]CSBH THƯỞNG XE'!$U$3:$Y$700,5,0),0),0))),0)</f>
        <v>20000000</v>
      </c>
      <c r="AM154" s="181"/>
      <c r="AN154" s="181"/>
      <c r="AO154" s="182">
        <f t="shared" si="35"/>
        <v>3000000</v>
      </c>
      <c r="AP154" s="182">
        <f t="shared" si="40"/>
        <v>3000000</v>
      </c>
      <c r="AQ154" s="183">
        <f t="shared" si="41"/>
        <v>3000000</v>
      </c>
      <c r="AR154" s="182">
        <f t="shared" si="36"/>
        <v>0</v>
      </c>
      <c r="AS154" s="182">
        <f t="shared" si="37"/>
        <v>0</v>
      </c>
      <c r="AT154" s="182">
        <v>3000000</v>
      </c>
      <c r="AU154" s="182">
        <v>0</v>
      </c>
      <c r="AV154" s="199"/>
      <c r="AW154" s="285"/>
      <c r="AX154" s="285"/>
      <c r="AY154" s="266"/>
      <c r="AZ154" s="280"/>
      <c r="BA154" s="281" t="s">
        <v>1981</v>
      </c>
      <c r="BB154" s="282">
        <f>VLOOKUP(H154,[1]NVKD!$C$1:$M$3296,11,0)</f>
        <v>2</v>
      </c>
      <c r="BC154" s="281" t="s">
        <v>1982</v>
      </c>
      <c r="BD154" s="283" t="str">
        <f t="shared" si="38"/>
        <v>Showroom Quang Trung</v>
      </c>
      <c r="BF154" s="284">
        <f t="shared" si="39"/>
        <v>0</v>
      </c>
      <c r="BG154" s="284">
        <f>IFERROR(IF(Y154=0,0, IF(Y154 / VLOOKUP(M154,'[1]CSBH THƯỞNG XE'!$U$3:$AA$1100,7,FALSE) &lt; 0.5,0,MIN((Y154 / VLOOKUP(M154,'[1]CSBH THƯỞNG XE'!$U$3:$AA$1100,7,FALSE)) * 20%,20%))),0)</f>
        <v>0</v>
      </c>
      <c r="BI154" s="287"/>
    </row>
    <row r="155" spans="1:61" s="286" customFormat="1" ht="20.149999999999999" customHeight="1">
      <c r="A155" s="185">
        <v>46123</v>
      </c>
      <c r="B155" s="186">
        <f t="shared" si="32"/>
        <v>11</v>
      </c>
      <c r="C155" s="186">
        <f t="shared" si="33"/>
        <v>4</v>
      </c>
      <c r="D155" s="186">
        <f t="shared" si="34"/>
        <v>2026</v>
      </c>
      <c r="E155" s="185">
        <v>46135</v>
      </c>
      <c r="F155" s="187" t="s">
        <v>1222</v>
      </c>
      <c r="G155" s="188" t="s">
        <v>246</v>
      </c>
      <c r="H155" s="189" t="s">
        <v>135</v>
      </c>
      <c r="I155" s="189" t="s">
        <v>286</v>
      </c>
      <c r="J155" s="189" t="s">
        <v>870</v>
      </c>
      <c r="K155" s="190"/>
      <c r="L155" s="190"/>
      <c r="M155" s="191" t="s">
        <v>56</v>
      </c>
      <c r="N155" s="191" t="s">
        <v>275</v>
      </c>
      <c r="O155" s="188" t="s">
        <v>105</v>
      </c>
      <c r="P155" s="192"/>
      <c r="Q155" s="180">
        <v>1</v>
      </c>
      <c r="R155" s="192" t="s">
        <v>872</v>
      </c>
      <c r="S155" s="193"/>
      <c r="T155" s="193"/>
      <c r="U155" s="193">
        <v>269181818</v>
      </c>
      <c r="V155" s="193"/>
      <c r="W155" s="194"/>
      <c r="X155" s="194"/>
      <c r="Y155" s="194"/>
      <c r="Z155" s="194"/>
      <c r="AA155" s="194">
        <v>0</v>
      </c>
      <c r="AB155" s="194">
        <f t="shared" si="29"/>
        <v>0</v>
      </c>
      <c r="AC155" s="195">
        <f t="shared" si="30"/>
        <v>0</v>
      </c>
      <c r="AD155" s="196">
        <f t="shared" si="31"/>
        <v>0</v>
      </c>
      <c r="AE155" s="195"/>
      <c r="AF155" s="195"/>
      <c r="AG155" s="195"/>
      <c r="AH155" s="193"/>
      <c r="AI155" s="197"/>
      <c r="AJ155" s="198"/>
      <c r="AK155" s="188" t="s">
        <v>250</v>
      </c>
      <c r="AL155" s="181">
        <f>IF(E155&gt;=DATE(2026,4,1),IF(OR($AK155="Khách hàng thông thường",$AK155="Khách hàng chuyển đổi xe xăng"),IFERROR(VLOOKUP($M155,'[1]CSBH THƯỞNG XE'!$U$3:$YY$800,3,0),0),IF($AK155="Khách hàng Khối Quân đội - Công An",IFERROR(VLOOKUP($M155,'[1]CSBH THƯỞNG XE'!$U$3:$X$600,4,0),0),IF($AK155="Khách hàng Giờ trái đất",IFERROR(VLOOKUP($M155,'[1]CSBH THƯỞNG XE'!$U$3:$Y$700,5,0),0),0))),0)</f>
        <v>8500000</v>
      </c>
      <c r="AM155" s="181"/>
      <c r="AN155" s="181"/>
      <c r="AO155" s="182">
        <f t="shared" si="35"/>
        <v>6800000</v>
      </c>
      <c r="AP155" s="182">
        <f t="shared" si="40"/>
        <v>6800000</v>
      </c>
      <c r="AQ155" s="183">
        <f t="shared" si="41"/>
        <v>6800000</v>
      </c>
      <c r="AR155" s="182">
        <f t="shared" si="36"/>
        <v>0</v>
      </c>
      <c r="AS155" s="182">
        <f t="shared" si="37"/>
        <v>0</v>
      </c>
      <c r="AT155" s="182">
        <v>0</v>
      </c>
      <c r="AU155" s="182">
        <v>0</v>
      </c>
      <c r="AV155" s="199"/>
      <c r="AW155" s="285"/>
      <c r="AX155" s="285"/>
      <c r="AY155" s="266"/>
      <c r="AZ155" s="280"/>
      <c r="BA155" s="281" t="s">
        <v>1981</v>
      </c>
      <c r="BB155" s="282">
        <f>VLOOKUP(H155,[1]NVKD!$C$1:$M$3296,11,0)</f>
        <v>6</v>
      </c>
      <c r="BC155" s="281" t="s">
        <v>1984</v>
      </c>
      <c r="BD155" s="283" t="str">
        <f t="shared" si="38"/>
        <v>Showroom Bến Lức</v>
      </c>
      <c r="BF155" s="284">
        <f t="shared" si="39"/>
        <v>0.2</v>
      </c>
      <c r="BG155" s="284">
        <f>IFERROR(IF(Y155=0,0, IF(Y155 / VLOOKUP(M155,'[1]CSBH THƯỞNG XE'!$U$3:$AA$1100,7,FALSE) &lt; 0.5,0,MIN((Y155 / VLOOKUP(M155,'[1]CSBH THƯỞNG XE'!$U$3:$AA$1100,7,FALSE)) * 20%,20%))),0)</f>
        <v>0</v>
      </c>
      <c r="BI155" s="287"/>
    </row>
    <row r="156" spans="1:61" s="286" customFormat="1" ht="20.149999999999999" customHeight="1">
      <c r="A156" s="185">
        <v>46134</v>
      </c>
      <c r="B156" s="186">
        <f t="shared" si="32"/>
        <v>22</v>
      </c>
      <c r="C156" s="186">
        <f t="shared" si="33"/>
        <v>4</v>
      </c>
      <c r="D156" s="186">
        <f t="shared" si="34"/>
        <v>2026</v>
      </c>
      <c r="E156" s="185">
        <v>46135</v>
      </c>
      <c r="F156" s="187" t="s">
        <v>1223</v>
      </c>
      <c r="G156" s="188" t="s">
        <v>246</v>
      </c>
      <c r="H156" s="189" t="s">
        <v>113</v>
      </c>
      <c r="I156" s="189" t="s">
        <v>247</v>
      </c>
      <c r="J156" s="189" t="s">
        <v>867</v>
      </c>
      <c r="K156" s="190"/>
      <c r="L156" s="190"/>
      <c r="M156" s="191" t="s">
        <v>55</v>
      </c>
      <c r="N156" s="191" t="s">
        <v>274</v>
      </c>
      <c r="O156" s="188" t="s">
        <v>134</v>
      </c>
      <c r="P156" s="192"/>
      <c r="Q156" s="180">
        <v>1</v>
      </c>
      <c r="R156" s="192" t="s">
        <v>869</v>
      </c>
      <c r="S156" s="193"/>
      <c r="T156" s="193"/>
      <c r="U156" s="193">
        <v>249836364</v>
      </c>
      <c r="V156" s="193"/>
      <c r="W156" s="194"/>
      <c r="X156" s="194"/>
      <c r="Y156" s="194"/>
      <c r="Z156" s="194"/>
      <c r="AA156" s="194">
        <v>0</v>
      </c>
      <c r="AB156" s="194">
        <f t="shared" si="29"/>
        <v>0</v>
      </c>
      <c r="AC156" s="195">
        <f t="shared" si="30"/>
        <v>0</v>
      </c>
      <c r="AD156" s="196">
        <f t="shared" si="31"/>
        <v>0</v>
      </c>
      <c r="AE156" s="195"/>
      <c r="AF156" s="195"/>
      <c r="AG156" s="195"/>
      <c r="AH156" s="193"/>
      <c r="AI156" s="197"/>
      <c r="AJ156" s="198"/>
      <c r="AK156" s="188" t="s">
        <v>250</v>
      </c>
      <c r="AL156" s="181">
        <f>IF(E156&gt;=DATE(2026,4,1),IF(OR($AK156="Khách hàng thông thường",$AK156="Khách hàng chuyển đổi xe xăng"),IFERROR(VLOOKUP($M156,'[1]CSBH THƯỞNG XE'!$U$3:$YY$800,3,0),0),IF($AK156="Khách hàng Khối Quân đội - Công An",IFERROR(VLOOKUP($M156,'[1]CSBH THƯỞNG XE'!$U$3:$X$600,4,0),0),IF($AK156="Khách hàng Giờ trái đất",IFERROR(VLOOKUP($M156,'[1]CSBH THƯỞNG XE'!$U$3:$Y$700,5,0),0),0))),0)</f>
        <v>8000000</v>
      </c>
      <c r="AM156" s="181"/>
      <c r="AN156" s="181"/>
      <c r="AO156" s="182">
        <f t="shared" si="35"/>
        <v>6400000</v>
      </c>
      <c r="AP156" s="182">
        <f t="shared" si="40"/>
        <v>6400000</v>
      </c>
      <c r="AQ156" s="183">
        <f t="shared" si="41"/>
        <v>6400000</v>
      </c>
      <c r="AR156" s="182">
        <f t="shared" si="36"/>
        <v>0</v>
      </c>
      <c r="AS156" s="182">
        <f t="shared" si="37"/>
        <v>0</v>
      </c>
      <c r="AT156" s="182">
        <v>0</v>
      </c>
      <c r="AU156" s="182">
        <v>0</v>
      </c>
      <c r="AV156" s="199"/>
      <c r="AW156" s="285"/>
      <c r="AX156" s="285"/>
      <c r="AY156" s="266"/>
      <c r="AZ156" s="280"/>
      <c r="BA156" s="281" t="s">
        <v>1981</v>
      </c>
      <c r="BB156" s="282">
        <f>VLOOKUP(H156,[1]NVKD!$C$1:$M$3296,11,0)</f>
        <v>5</v>
      </c>
      <c r="BC156" s="281" t="s">
        <v>1984</v>
      </c>
      <c r="BD156" s="283" t="str">
        <f t="shared" si="38"/>
        <v>Showroom Bến Lức</v>
      </c>
      <c r="BF156" s="284">
        <f t="shared" si="39"/>
        <v>0.2</v>
      </c>
      <c r="BG156" s="284">
        <f>IFERROR(IF(Y156=0,0, IF(Y156 / VLOOKUP(M156,'[1]CSBH THƯỞNG XE'!$U$3:$AA$1100,7,FALSE) &lt; 0.5,0,MIN((Y156 / VLOOKUP(M156,'[1]CSBH THƯỞNG XE'!$U$3:$AA$1100,7,FALSE)) * 20%,20%))),0)</f>
        <v>0</v>
      </c>
      <c r="BI156" s="287"/>
    </row>
    <row r="157" spans="1:61" s="286" customFormat="1" ht="20.149999999999999" customHeight="1">
      <c r="A157" s="185">
        <v>46134</v>
      </c>
      <c r="B157" s="186">
        <f t="shared" si="32"/>
        <v>22</v>
      </c>
      <c r="C157" s="186">
        <f t="shared" si="33"/>
        <v>4</v>
      </c>
      <c r="D157" s="186">
        <f t="shared" si="34"/>
        <v>2026</v>
      </c>
      <c r="E157" s="185">
        <v>46135</v>
      </c>
      <c r="F157" s="187" t="s">
        <v>1224</v>
      </c>
      <c r="G157" s="188" t="s">
        <v>258</v>
      </c>
      <c r="H157" s="189" t="s">
        <v>188</v>
      </c>
      <c r="I157" s="189" t="s">
        <v>259</v>
      </c>
      <c r="J157" s="189" t="s">
        <v>1225</v>
      </c>
      <c r="K157" s="190"/>
      <c r="L157" s="190"/>
      <c r="M157" s="191" t="s">
        <v>56</v>
      </c>
      <c r="N157" s="191" t="s">
        <v>277</v>
      </c>
      <c r="O157" s="188" t="s">
        <v>140</v>
      </c>
      <c r="P157" s="192"/>
      <c r="Q157" s="180">
        <v>1</v>
      </c>
      <c r="R157" s="192" t="s">
        <v>813</v>
      </c>
      <c r="S157" s="193"/>
      <c r="T157" s="193"/>
      <c r="U157" s="193">
        <v>246272727</v>
      </c>
      <c r="V157" s="193"/>
      <c r="W157" s="194"/>
      <c r="X157" s="194"/>
      <c r="Y157" s="194"/>
      <c r="Z157" s="194"/>
      <c r="AA157" s="194">
        <v>0</v>
      </c>
      <c r="AB157" s="194">
        <f t="shared" si="29"/>
        <v>0</v>
      </c>
      <c r="AC157" s="195">
        <f t="shared" si="30"/>
        <v>0</v>
      </c>
      <c r="AD157" s="196">
        <f t="shared" si="31"/>
        <v>0</v>
      </c>
      <c r="AE157" s="195"/>
      <c r="AF157" s="195"/>
      <c r="AG157" s="195"/>
      <c r="AH157" s="193"/>
      <c r="AI157" s="197"/>
      <c r="AJ157" s="198"/>
      <c r="AK157" s="42" t="s">
        <v>271</v>
      </c>
      <c r="AL157" s="181">
        <f>IF(E157&gt;=DATE(2026,4,1),IF(OR($AK157="Khách hàng thông thường",$AK157="Khách hàng chuyển đổi xe xăng"),IFERROR(VLOOKUP($M157,'[1]CSBH THƯỞNG XE'!$U$3:$YY$800,3,0),0),IF($AK157="Khách hàng Khối Quân đội - Công An",IFERROR(VLOOKUP($M157,'[1]CSBH THƯỞNG XE'!$U$3:$X$600,4,0),0),IF($AK157="Khách hàng Giờ trái đất",IFERROR(VLOOKUP($M157,'[1]CSBH THƯỞNG XE'!$U$3:$Y$700,5,0),0),0))),0)</f>
        <v>4250000</v>
      </c>
      <c r="AM157" s="181"/>
      <c r="AN157" s="181"/>
      <c r="AO157" s="182">
        <f t="shared" si="35"/>
        <v>3400000</v>
      </c>
      <c r="AP157" s="182">
        <f t="shared" si="40"/>
        <v>3400000</v>
      </c>
      <c r="AQ157" s="183">
        <f t="shared" si="41"/>
        <v>3400000</v>
      </c>
      <c r="AR157" s="182">
        <f t="shared" si="36"/>
        <v>0</v>
      </c>
      <c r="AS157" s="182">
        <f t="shared" si="37"/>
        <v>0</v>
      </c>
      <c r="AT157" s="182">
        <v>0</v>
      </c>
      <c r="AU157" s="182">
        <v>0</v>
      </c>
      <c r="AV157" s="199"/>
      <c r="AW157" s="285"/>
      <c r="AX157" s="285"/>
      <c r="AY157" s="266"/>
      <c r="AZ157" s="280"/>
      <c r="BA157" s="281" t="s">
        <v>1981</v>
      </c>
      <c r="BB157" s="282">
        <f>VLOOKUP(H157,[1]NVKD!$C$1:$M$3296,11,0)</f>
        <v>6</v>
      </c>
      <c r="BC157" s="281" t="s">
        <v>1984</v>
      </c>
      <c r="BD157" s="283" t="str">
        <f t="shared" si="38"/>
        <v>Showroom 50 Nguyễn Văn Tăng</v>
      </c>
      <c r="BF157" s="284">
        <f t="shared" si="39"/>
        <v>0.2</v>
      </c>
      <c r="BG157" s="284">
        <f>IFERROR(IF(Y157=0,0, IF(Y157 / VLOOKUP(M157,'[1]CSBH THƯỞNG XE'!$U$3:$AA$1100,7,FALSE) &lt; 0.5,0,MIN((Y157 / VLOOKUP(M157,'[1]CSBH THƯỞNG XE'!$U$3:$AA$1100,7,FALSE)) * 20%,20%))),0)</f>
        <v>0</v>
      </c>
      <c r="BI157" s="287"/>
    </row>
    <row r="158" spans="1:61" s="286" customFormat="1" ht="20.149999999999999" customHeight="1">
      <c r="A158" s="185">
        <v>46124</v>
      </c>
      <c r="B158" s="186">
        <f t="shared" si="32"/>
        <v>12</v>
      </c>
      <c r="C158" s="186">
        <f t="shared" si="33"/>
        <v>4</v>
      </c>
      <c r="D158" s="186">
        <f t="shared" si="34"/>
        <v>2026</v>
      </c>
      <c r="E158" s="185">
        <v>46135</v>
      </c>
      <c r="F158" s="187" t="s">
        <v>1226</v>
      </c>
      <c r="G158" s="188" t="s">
        <v>263</v>
      </c>
      <c r="H158" s="189" t="s">
        <v>564</v>
      </c>
      <c r="I158" s="189" t="s">
        <v>264</v>
      </c>
      <c r="J158" s="189" t="s">
        <v>745</v>
      </c>
      <c r="K158" s="190"/>
      <c r="L158" s="190"/>
      <c r="M158" s="191" t="s">
        <v>55</v>
      </c>
      <c r="N158" s="191" t="s">
        <v>283</v>
      </c>
      <c r="O158" s="188" t="s">
        <v>162</v>
      </c>
      <c r="P158" s="192"/>
      <c r="Q158" s="180">
        <v>1</v>
      </c>
      <c r="R158" s="192" t="s">
        <v>747</v>
      </c>
      <c r="S158" s="193"/>
      <c r="T158" s="193"/>
      <c r="U158" s="193">
        <v>243527273</v>
      </c>
      <c r="V158" s="193"/>
      <c r="W158" s="194">
        <v>5000000</v>
      </c>
      <c r="X158" s="194"/>
      <c r="Y158" s="194"/>
      <c r="Z158" s="194"/>
      <c r="AA158" s="194">
        <v>5520000</v>
      </c>
      <c r="AB158" s="194">
        <f t="shared" si="29"/>
        <v>5520000</v>
      </c>
      <c r="AC158" s="195">
        <f t="shared" si="30"/>
        <v>5520000</v>
      </c>
      <c r="AD158" s="196">
        <f t="shared" si="31"/>
        <v>5520000</v>
      </c>
      <c r="AE158" s="195"/>
      <c r="AF158" s="195"/>
      <c r="AG158" s="195"/>
      <c r="AH158" s="193"/>
      <c r="AI158" s="197"/>
      <c r="AJ158" s="198"/>
      <c r="AK158" s="188" t="s">
        <v>250</v>
      </c>
      <c r="AL158" s="181">
        <f>IF(E158&gt;=DATE(2026,4,1),IF(OR($AK158="Khách hàng thông thường",$AK158="Khách hàng chuyển đổi xe xăng"),IFERROR(VLOOKUP($M158,'[1]CSBH THƯỞNG XE'!$U$3:$YY$800,3,0),0),IF($AK158="Khách hàng Khối Quân đội - Công An",IFERROR(VLOOKUP($M158,'[1]CSBH THƯỞNG XE'!$U$3:$X$600,4,0),0),IF($AK158="Khách hàng Giờ trái đất",IFERROR(VLOOKUP($M158,'[1]CSBH THƯỞNG XE'!$U$3:$Y$700,5,0),0),0))),0)</f>
        <v>8000000</v>
      </c>
      <c r="AM158" s="181"/>
      <c r="AN158" s="181"/>
      <c r="AO158" s="182">
        <f t="shared" si="35"/>
        <v>1984000</v>
      </c>
      <c r="AP158" s="182">
        <f t="shared" si="40"/>
        <v>1984000</v>
      </c>
      <c r="AQ158" s="183">
        <f t="shared" si="41"/>
        <v>1984000</v>
      </c>
      <c r="AR158" s="182">
        <f t="shared" si="36"/>
        <v>0</v>
      </c>
      <c r="AS158" s="182">
        <f t="shared" si="37"/>
        <v>0</v>
      </c>
      <c r="AT158" s="182">
        <v>3000000</v>
      </c>
      <c r="AU158" s="182">
        <v>5000000</v>
      </c>
      <c r="AV158" s="199"/>
      <c r="AW158" s="285"/>
      <c r="AX158" s="285"/>
      <c r="AY158" s="266"/>
      <c r="AZ158" s="280"/>
      <c r="BA158" s="281" t="s">
        <v>1981</v>
      </c>
      <c r="BB158" s="282">
        <f>VLOOKUP(H158,[1]NVKD!$C$1:$M$3296,11,0)</f>
        <v>2</v>
      </c>
      <c r="BC158" s="281" t="s">
        <v>1982</v>
      </c>
      <c r="BD158" s="283" t="str">
        <f t="shared" si="38"/>
        <v>Showroom Quang Trung</v>
      </c>
      <c r="BF158" s="284">
        <f t="shared" si="39"/>
        <v>0.2</v>
      </c>
      <c r="BG158" s="284">
        <f>IFERROR(IF(Y158=0,0, IF(Y158 / VLOOKUP(M158,'[1]CSBH THƯỞNG XE'!$U$3:$AA$1100,7,FALSE) &lt; 0.5,0,MIN((Y158 / VLOOKUP(M158,'[1]CSBH THƯỞNG XE'!$U$3:$AA$1100,7,FALSE)) * 20%,20%))),0)</f>
        <v>0</v>
      </c>
      <c r="BI158" s="287"/>
    </row>
    <row r="159" spans="1:61" s="286" customFormat="1" ht="20.149999999999999" customHeight="1">
      <c r="A159" s="185">
        <v>46120</v>
      </c>
      <c r="B159" s="186">
        <f t="shared" si="32"/>
        <v>8</v>
      </c>
      <c r="C159" s="186">
        <f t="shared" si="33"/>
        <v>4</v>
      </c>
      <c r="D159" s="186">
        <f t="shared" si="34"/>
        <v>2026</v>
      </c>
      <c r="E159" s="185">
        <v>46135</v>
      </c>
      <c r="F159" s="187" t="s">
        <v>1227</v>
      </c>
      <c r="G159" s="188" t="s">
        <v>258</v>
      </c>
      <c r="H159" s="189" t="s">
        <v>143</v>
      </c>
      <c r="I159" s="189" t="s">
        <v>261</v>
      </c>
      <c r="J159" s="189" t="s">
        <v>1228</v>
      </c>
      <c r="K159" s="190"/>
      <c r="L159" s="190"/>
      <c r="M159" s="191" t="s">
        <v>56</v>
      </c>
      <c r="N159" s="191" t="s">
        <v>281</v>
      </c>
      <c r="O159" s="188" t="s">
        <v>140</v>
      </c>
      <c r="P159" s="192"/>
      <c r="Q159" s="180">
        <v>1</v>
      </c>
      <c r="R159" s="192" t="s">
        <v>816</v>
      </c>
      <c r="S159" s="193"/>
      <c r="T159" s="193"/>
      <c r="U159" s="193">
        <v>271472727</v>
      </c>
      <c r="V159" s="193"/>
      <c r="W159" s="194"/>
      <c r="X159" s="194"/>
      <c r="Y159" s="194"/>
      <c r="Z159" s="194"/>
      <c r="AA159" s="194">
        <v>5000000</v>
      </c>
      <c r="AB159" s="194">
        <f t="shared" si="29"/>
        <v>5000000</v>
      </c>
      <c r="AC159" s="195">
        <f t="shared" si="30"/>
        <v>5000000</v>
      </c>
      <c r="AD159" s="196">
        <f t="shared" si="31"/>
        <v>5000000</v>
      </c>
      <c r="AE159" s="195"/>
      <c r="AF159" s="195"/>
      <c r="AG159" s="195"/>
      <c r="AH159" s="193"/>
      <c r="AI159" s="197"/>
      <c r="AJ159" s="198"/>
      <c r="AK159" s="188" t="s">
        <v>250</v>
      </c>
      <c r="AL159" s="181">
        <f>IF(E159&gt;=DATE(2026,4,1),IF(OR($AK159="Khách hàng thông thường",$AK159="Khách hàng chuyển đổi xe xăng"),IFERROR(VLOOKUP($M159,'[1]CSBH THƯỞNG XE'!$U$3:$YY$800,3,0),0),IF($AK159="Khách hàng Khối Quân đội - Công An",IFERROR(VLOOKUP($M159,'[1]CSBH THƯỞNG XE'!$U$3:$X$600,4,0),0),IF($AK159="Khách hàng Giờ trái đất",IFERROR(VLOOKUP($M159,'[1]CSBH THƯỞNG XE'!$U$3:$Y$700,5,0),0),0))),0)</f>
        <v>8500000</v>
      </c>
      <c r="AM159" s="181"/>
      <c r="AN159" s="181"/>
      <c r="AO159" s="182">
        <f t="shared" si="35"/>
        <v>2800000</v>
      </c>
      <c r="AP159" s="182">
        <f t="shared" si="40"/>
        <v>2800000</v>
      </c>
      <c r="AQ159" s="183">
        <f t="shared" si="41"/>
        <v>2800000</v>
      </c>
      <c r="AR159" s="182">
        <f t="shared" si="36"/>
        <v>0</v>
      </c>
      <c r="AS159" s="182">
        <f t="shared" si="37"/>
        <v>0</v>
      </c>
      <c r="AT159" s="182">
        <v>0</v>
      </c>
      <c r="AU159" s="182">
        <v>0</v>
      </c>
      <c r="AV159" s="199"/>
      <c r="AW159" s="285"/>
      <c r="AX159" s="285"/>
      <c r="AY159" s="266"/>
      <c r="AZ159" s="280"/>
      <c r="BA159" s="281" t="s">
        <v>1981</v>
      </c>
      <c r="BB159" s="282">
        <f>VLOOKUP(H159,[1]NVKD!$C$1:$M$3296,11,0)</f>
        <v>2</v>
      </c>
      <c r="BC159" s="281" t="s">
        <v>1984</v>
      </c>
      <c r="BD159" s="283" t="str">
        <f t="shared" si="38"/>
        <v>Showroom 50 Nguyễn Văn Tăng</v>
      </c>
      <c r="BF159" s="284">
        <f t="shared" si="39"/>
        <v>0.2</v>
      </c>
      <c r="BG159" s="284">
        <f>IFERROR(IF(Y159=0,0, IF(Y159 / VLOOKUP(M159,'[1]CSBH THƯỞNG XE'!$U$3:$AA$1100,7,FALSE) &lt; 0.5,0,MIN((Y159 / VLOOKUP(M159,'[1]CSBH THƯỞNG XE'!$U$3:$AA$1100,7,FALSE)) * 20%,20%))),0)</f>
        <v>0</v>
      </c>
      <c r="BI159" s="287"/>
    </row>
    <row r="160" spans="1:61" s="286" customFormat="1" ht="20.149999999999999" customHeight="1">
      <c r="A160" s="185">
        <v>46134</v>
      </c>
      <c r="B160" s="186">
        <f t="shared" si="32"/>
        <v>22</v>
      </c>
      <c r="C160" s="186">
        <f t="shared" si="33"/>
        <v>4</v>
      </c>
      <c r="D160" s="186">
        <f t="shared" si="34"/>
        <v>2026</v>
      </c>
      <c r="E160" s="185">
        <v>46135</v>
      </c>
      <c r="F160" s="187" t="s">
        <v>1229</v>
      </c>
      <c r="G160" s="188" t="s">
        <v>254</v>
      </c>
      <c r="H160" s="189" t="s">
        <v>171</v>
      </c>
      <c r="I160" s="189"/>
      <c r="J160" s="189" t="s">
        <v>714</v>
      </c>
      <c r="K160" s="190"/>
      <c r="L160" s="190"/>
      <c r="M160" s="191" t="s">
        <v>110</v>
      </c>
      <c r="N160" s="191" t="s">
        <v>267</v>
      </c>
      <c r="O160" s="188" t="s">
        <v>105</v>
      </c>
      <c r="P160" s="192"/>
      <c r="Q160" s="180">
        <v>1</v>
      </c>
      <c r="R160" s="192" t="s">
        <v>716</v>
      </c>
      <c r="S160" s="193"/>
      <c r="T160" s="193"/>
      <c r="U160" s="193">
        <v>426348227</v>
      </c>
      <c r="V160" s="193"/>
      <c r="W160" s="194">
        <v>5065017</v>
      </c>
      <c r="X160" s="194"/>
      <c r="Y160" s="194"/>
      <c r="Z160" s="194"/>
      <c r="AA160" s="194">
        <v>10000000</v>
      </c>
      <c r="AB160" s="194">
        <f t="shared" si="29"/>
        <v>10000000</v>
      </c>
      <c r="AC160" s="195">
        <f t="shared" si="30"/>
        <v>10000000</v>
      </c>
      <c r="AD160" s="196">
        <f t="shared" si="31"/>
        <v>10000000</v>
      </c>
      <c r="AE160" s="195"/>
      <c r="AF160" s="195"/>
      <c r="AG160" s="195"/>
      <c r="AH160" s="193"/>
      <c r="AI160" s="197"/>
      <c r="AJ160" s="198"/>
      <c r="AK160" s="188" t="s">
        <v>250</v>
      </c>
      <c r="AL160" s="181">
        <f>IF(E160&gt;=DATE(2026,4,1),IF(OR($AK160="Khách hàng thông thường",$AK160="Khách hàng chuyển đổi xe xăng"),IFERROR(VLOOKUP($M160,'[1]CSBH THƯỞNG XE'!$U$3:$YY$800,3,0),0),IF($AK160="Khách hàng Khối Quân đội - Công An",IFERROR(VLOOKUP($M160,'[1]CSBH THƯỞNG XE'!$U$3:$X$600,4,0),0),IF($AK160="Khách hàng Giờ trái đất",IFERROR(VLOOKUP($M160,'[1]CSBH THƯỞNG XE'!$U$3:$Y$700,5,0),0),0))),0)</f>
        <v>16000000</v>
      </c>
      <c r="AM160" s="181"/>
      <c r="AN160" s="181"/>
      <c r="AO160" s="182">
        <f t="shared" si="35"/>
        <v>4800000</v>
      </c>
      <c r="AP160" s="182">
        <f t="shared" si="40"/>
        <v>4800000</v>
      </c>
      <c r="AQ160" s="183">
        <f t="shared" si="41"/>
        <v>4800000</v>
      </c>
      <c r="AR160" s="182">
        <f t="shared" si="36"/>
        <v>0</v>
      </c>
      <c r="AS160" s="182">
        <f t="shared" si="37"/>
        <v>0</v>
      </c>
      <c r="AT160" s="182">
        <v>0</v>
      </c>
      <c r="AU160" s="182">
        <v>1519505.0999999999</v>
      </c>
      <c r="AV160" s="199"/>
      <c r="AW160" s="285"/>
      <c r="AX160" s="285"/>
      <c r="AY160" s="266"/>
      <c r="AZ160" s="280"/>
      <c r="BA160" s="281">
        <v>0</v>
      </c>
      <c r="BB160" s="282">
        <f>VLOOKUP(H160,[1]NVKD!$C$1:$M$3296,11,0)</f>
        <v>3</v>
      </c>
      <c r="BC160" s="281" t="s">
        <v>1984</v>
      </c>
      <c r="BD160" s="283" t="str">
        <f t="shared" si="38"/>
        <v>Showroom Sala</v>
      </c>
      <c r="BF160" s="284">
        <f t="shared" si="39"/>
        <v>0.2</v>
      </c>
      <c r="BG160" s="284">
        <f>IFERROR(IF(Y160=0,0, IF(Y160 / VLOOKUP(M160,'[1]CSBH THƯỞNG XE'!$U$3:$AA$1100,7,FALSE) &lt; 0.5,0,MIN((Y160 / VLOOKUP(M160,'[1]CSBH THƯỞNG XE'!$U$3:$AA$1100,7,FALSE)) * 20%,20%))),0)</f>
        <v>0</v>
      </c>
      <c r="BI160" s="287"/>
    </row>
    <row r="161" spans="1:61" s="286" customFormat="1" ht="20.149999999999999" customHeight="1">
      <c r="A161" s="185">
        <v>46135</v>
      </c>
      <c r="B161" s="186">
        <f t="shared" si="32"/>
        <v>23</v>
      </c>
      <c r="C161" s="186">
        <f t="shared" si="33"/>
        <v>4</v>
      </c>
      <c r="D161" s="186">
        <f t="shared" si="34"/>
        <v>2026</v>
      </c>
      <c r="E161" s="185">
        <v>46136</v>
      </c>
      <c r="F161" s="187" t="s">
        <v>1230</v>
      </c>
      <c r="G161" s="188" t="s">
        <v>258</v>
      </c>
      <c r="H161" s="189" t="s">
        <v>190</v>
      </c>
      <c r="I161" s="189" t="s">
        <v>270</v>
      </c>
      <c r="J161" s="189" t="s">
        <v>1231</v>
      </c>
      <c r="K161" s="190"/>
      <c r="L161" s="190"/>
      <c r="M161" s="191" t="s">
        <v>257</v>
      </c>
      <c r="N161" s="191" t="s">
        <v>268</v>
      </c>
      <c r="O161" s="188" t="s">
        <v>53</v>
      </c>
      <c r="P161" s="192"/>
      <c r="Q161" s="180">
        <v>1</v>
      </c>
      <c r="R161" s="192" t="s">
        <v>822</v>
      </c>
      <c r="S161" s="193"/>
      <c r="T161" s="193"/>
      <c r="U161" s="193">
        <v>640309091</v>
      </c>
      <c r="V161" s="193"/>
      <c r="W161" s="194">
        <v>6972966</v>
      </c>
      <c r="X161" s="194"/>
      <c r="Y161" s="194"/>
      <c r="Z161" s="194"/>
      <c r="AA161" s="194">
        <v>0</v>
      </c>
      <c r="AB161" s="194">
        <f t="shared" si="29"/>
        <v>0</v>
      </c>
      <c r="AC161" s="195">
        <f t="shared" si="30"/>
        <v>0</v>
      </c>
      <c r="AD161" s="196">
        <f t="shared" si="31"/>
        <v>0</v>
      </c>
      <c r="AE161" s="195"/>
      <c r="AF161" s="195"/>
      <c r="AG161" s="195"/>
      <c r="AH161" s="193"/>
      <c r="AI161" s="197"/>
      <c r="AJ161" s="198"/>
      <c r="AK161" s="42" t="s">
        <v>271</v>
      </c>
      <c r="AL161" s="181">
        <f>IF(E161&gt;=DATE(2026,4,1),IF(OR($AK161="Khách hàng thông thường",$AK161="Khách hàng chuyển đổi xe xăng"),IFERROR(VLOOKUP($M161,'[1]CSBH THƯỞNG XE'!$U$3:$YY$800,3,0),0),IF($AK161="Khách hàng Khối Quân đội - Công An",IFERROR(VLOOKUP($M161,'[1]CSBH THƯỞNG XE'!$U$3:$X$600,4,0),0),IF($AK161="Khách hàng Giờ trái đất",IFERROR(VLOOKUP($M161,'[1]CSBH THƯỞNG XE'!$U$3:$Y$700,5,0),0),0))),0)</f>
        <v>10000000</v>
      </c>
      <c r="AM161" s="181"/>
      <c r="AN161" s="181"/>
      <c r="AO161" s="182">
        <f t="shared" si="35"/>
        <v>8000000</v>
      </c>
      <c r="AP161" s="182">
        <f t="shared" si="40"/>
        <v>8000000</v>
      </c>
      <c r="AQ161" s="183">
        <f t="shared" si="41"/>
        <v>8000000</v>
      </c>
      <c r="AR161" s="182">
        <f t="shared" si="36"/>
        <v>0</v>
      </c>
      <c r="AS161" s="182">
        <f t="shared" si="37"/>
        <v>0</v>
      </c>
      <c r="AT161" s="182">
        <v>10000000</v>
      </c>
      <c r="AU161" s="182">
        <v>6972966</v>
      </c>
      <c r="AV161" s="199"/>
      <c r="AW161" s="285"/>
      <c r="AX161" s="285"/>
      <c r="AY161" s="266"/>
      <c r="AZ161" s="280"/>
      <c r="BA161" s="281" t="s">
        <v>1981</v>
      </c>
      <c r="BB161" s="282">
        <f>VLOOKUP(H161,[1]NVKD!$C$1:$M$3296,11,0)</f>
        <v>4</v>
      </c>
      <c r="BC161" s="281" t="s">
        <v>1984</v>
      </c>
      <c r="BD161" s="283" t="str">
        <f t="shared" si="38"/>
        <v>Showroom 50 Nguyễn Văn Tăng</v>
      </c>
      <c r="BF161" s="284">
        <f t="shared" si="39"/>
        <v>0.2</v>
      </c>
      <c r="BG161" s="284">
        <f>IFERROR(IF(Y161=0,0, IF(Y161 / VLOOKUP(M161,'[1]CSBH THƯỞNG XE'!$U$3:$AA$1100,7,FALSE) &lt; 0.5,0,MIN((Y161 / VLOOKUP(M161,'[1]CSBH THƯỞNG XE'!$U$3:$AA$1100,7,FALSE)) * 20%,20%))),0)</f>
        <v>0</v>
      </c>
      <c r="BI161" s="287"/>
    </row>
    <row r="162" spans="1:61" s="286" customFormat="1" ht="20.149999999999999" customHeight="1">
      <c r="A162" s="185">
        <v>46121</v>
      </c>
      <c r="B162" s="186">
        <f t="shared" si="32"/>
        <v>9</v>
      </c>
      <c r="C162" s="186">
        <f t="shared" si="33"/>
        <v>4</v>
      </c>
      <c r="D162" s="186">
        <f t="shared" si="34"/>
        <v>2026</v>
      </c>
      <c r="E162" s="185">
        <v>46136</v>
      </c>
      <c r="F162" s="187" t="s">
        <v>1232</v>
      </c>
      <c r="G162" s="188" t="s">
        <v>263</v>
      </c>
      <c r="H162" s="189" t="s">
        <v>1233</v>
      </c>
      <c r="I162" s="189" t="s">
        <v>264</v>
      </c>
      <c r="J162" s="189" t="s">
        <v>753</v>
      </c>
      <c r="K162" s="190"/>
      <c r="L162" s="190"/>
      <c r="M162" s="191" t="s">
        <v>110</v>
      </c>
      <c r="N162" s="191" t="s">
        <v>278</v>
      </c>
      <c r="O162" s="188" t="s">
        <v>105</v>
      </c>
      <c r="P162" s="192"/>
      <c r="Q162" s="180">
        <v>1</v>
      </c>
      <c r="R162" s="192" t="s">
        <v>755</v>
      </c>
      <c r="S162" s="193"/>
      <c r="T162" s="193"/>
      <c r="U162" s="193">
        <v>435154545</v>
      </c>
      <c r="V162" s="193"/>
      <c r="W162" s="194"/>
      <c r="X162" s="194"/>
      <c r="Y162" s="194"/>
      <c r="Z162" s="194"/>
      <c r="AA162" s="194">
        <v>10000000</v>
      </c>
      <c r="AB162" s="194">
        <f t="shared" si="29"/>
        <v>10000000</v>
      </c>
      <c r="AC162" s="195">
        <f t="shared" si="30"/>
        <v>10000000</v>
      </c>
      <c r="AD162" s="196">
        <f t="shared" si="31"/>
        <v>10000000</v>
      </c>
      <c r="AE162" s="195"/>
      <c r="AF162" s="195"/>
      <c r="AG162" s="195"/>
      <c r="AH162" s="193"/>
      <c r="AI162" s="197"/>
      <c r="AJ162" s="198"/>
      <c r="AK162" s="188" t="s">
        <v>250</v>
      </c>
      <c r="AL162" s="181">
        <f>IF(E162&gt;=DATE(2026,4,1),IF(OR($AK162="Khách hàng thông thường",$AK162="Khách hàng chuyển đổi xe xăng"),IFERROR(VLOOKUP($M162,'[1]CSBH THƯỞNG XE'!$U$3:$YY$800,3,0),0),IF($AK162="Khách hàng Khối Quân đội - Công An",IFERROR(VLOOKUP($M162,'[1]CSBH THƯỞNG XE'!$U$3:$X$600,4,0),0),IF($AK162="Khách hàng Giờ trái đất",IFERROR(VLOOKUP($M162,'[1]CSBH THƯỞNG XE'!$U$3:$Y$700,5,0),0),0))),0)</f>
        <v>16000000</v>
      </c>
      <c r="AM162" s="181"/>
      <c r="AN162" s="181"/>
      <c r="AO162" s="182">
        <f t="shared" si="35"/>
        <v>3600000</v>
      </c>
      <c r="AP162" s="182">
        <f t="shared" si="40"/>
        <v>3600000</v>
      </c>
      <c r="AQ162" s="183">
        <f t="shared" si="41"/>
        <v>3600000</v>
      </c>
      <c r="AR162" s="182">
        <f t="shared" si="36"/>
        <v>0</v>
      </c>
      <c r="AS162" s="182">
        <f t="shared" si="37"/>
        <v>0</v>
      </c>
      <c r="AT162" s="182">
        <v>3000000</v>
      </c>
      <c r="AU162" s="182">
        <v>0</v>
      </c>
      <c r="AV162" s="199"/>
      <c r="AW162" s="285"/>
      <c r="AX162" s="285"/>
      <c r="AY162" s="266"/>
      <c r="AZ162" s="280"/>
      <c r="BA162" s="281" t="s">
        <v>1983</v>
      </c>
      <c r="BB162" s="282">
        <f>VLOOKUP(H162,[1]NVKD!$C$1:$M$3296,11,0)</f>
        <v>1</v>
      </c>
      <c r="BC162" s="281" t="s">
        <v>1982</v>
      </c>
      <c r="BD162" s="283" t="str">
        <f t="shared" si="38"/>
        <v>Showroom Quang Trung</v>
      </c>
      <c r="BF162" s="284">
        <f t="shared" si="39"/>
        <v>0</v>
      </c>
      <c r="BG162" s="284">
        <f>IFERROR(IF(Y162=0,0, IF(Y162 / VLOOKUP(M162,'[1]CSBH THƯỞNG XE'!$U$3:$AA$1100,7,FALSE) &lt; 0.5,0,MIN((Y162 / VLOOKUP(M162,'[1]CSBH THƯỞNG XE'!$U$3:$AA$1100,7,FALSE)) * 20%,20%))),0)</f>
        <v>0</v>
      </c>
      <c r="BI162" s="287"/>
    </row>
    <row r="163" spans="1:61" s="286" customFormat="1" ht="20.149999999999999" customHeight="1">
      <c r="A163" s="185">
        <v>46134</v>
      </c>
      <c r="B163" s="186">
        <f t="shared" si="32"/>
        <v>22</v>
      </c>
      <c r="C163" s="186">
        <f t="shared" si="33"/>
        <v>4</v>
      </c>
      <c r="D163" s="186">
        <f t="shared" si="34"/>
        <v>2026</v>
      </c>
      <c r="E163" s="185">
        <v>46136</v>
      </c>
      <c r="F163" s="187" t="s">
        <v>1234</v>
      </c>
      <c r="G163" s="188" t="s">
        <v>263</v>
      </c>
      <c r="H163" s="189" t="s">
        <v>183</v>
      </c>
      <c r="I163" s="189" t="s">
        <v>264</v>
      </c>
      <c r="J163" s="189" t="s">
        <v>749</v>
      </c>
      <c r="K163" s="190"/>
      <c r="L163" s="190"/>
      <c r="M163" s="191" t="s">
        <v>55</v>
      </c>
      <c r="N163" s="191" t="s">
        <v>253</v>
      </c>
      <c r="O163" s="188" t="s">
        <v>134</v>
      </c>
      <c r="P163" s="192"/>
      <c r="Q163" s="180">
        <v>1</v>
      </c>
      <c r="R163" s="192" t="s">
        <v>751</v>
      </c>
      <c r="S163" s="193"/>
      <c r="T163" s="193"/>
      <c r="U163" s="193">
        <v>250818182</v>
      </c>
      <c r="V163" s="193"/>
      <c r="W163" s="194"/>
      <c r="X163" s="194"/>
      <c r="Y163" s="194"/>
      <c r="Z163" s="194"/>
      <c r="AA163" s="194">
        <v>0</v>
      </c>
      <c r="AB163" s="194">
        <f t="shared" si="29"/>
        <v>0</v>
      </c>
      <c r="AC163" s="195">
        <f t="shared" si="30"/>
        <v>0</v>
      </c>
      <c r="AD163" s="196">
        <f t="shared" si="31"/>
        <v>0</v>
      </c>
      <c r="AE163" s="195"/>
      <c r="AF163" s="195"/>
      <c r="AG163" s="195"/>
      <c r="AH163" s="193"/>
      <c r="AI163" s="197"/>
      <c r="AJ163" s="198"/>
      <c r="AK163" s="42" t="s">
        <v>271</v>
      </c>
      <c r="AL163" s="181">
        <f>IF(E163&gt;=DATE(2026,4,1),IF(OR($AK163="Khách hàng thông thường",$AK163="Khách hàng chuyển đổi xe xăng"),IFERROR(VLOOKUP($M163,'[1]CSBH THƯỞNG XE'!$U$3:$YY$800,3,0),0),IF($AK163="Khách hàng Khối Quân đội - Công An",IFERROR(VLOOKUP($M163,'[1]CSBH THƯỞNG XE'!$U$3:$X$600,4,0),0),IF($AK163="Khách hàng Giờ trái đất",IFERROR(VLOOKUP($M163,'[1]CSBH THƯỞNG XE'!$U$3:$Y$700,5,0),0),0))),0)</f>
        <v>4000000</v>
      </c>
      <c r="AM163" s="181"/>
      <c r="AN163" s="181"/>
      <c r="AO163" s="182">
        <f t="shared" si="35"/>
        <v>3200000</v>
      </c>
      <c r="AP163" s="182">
        <f t="shared" si="40"/>
        <v>3200000</v>
      </c>
      <c r="AQ163" s="183">
        <f t="shared" si="41"/>
        <v>3200000</v>
      </c>
      <c r="AR163" s="182">
        <f t="shared" si="36"/>
        <v>0</v>
      </c>
      <c r="AS163" s="182">
        <f t="shared" si="37"/>
        <v>0</v>
      </c>
      <c r="AT163" s="182">
        <v>2000000</v>
      </c>
      <c r="AU163" s="182">
        <v>0</v>
      </c>
      <c r="AV163" s="199"/>
      <c r="AW163" s="285"/>
      <c r="AX163" s="285"/>
      <c r="AY163" s="266"/>
      <c r="AZ163" s="280"/>
      <c r="BA163" s="281" t="s">
        <v>1981</v>
      </c>
      <c r="BB163" s="282">
        <f>VLOOKUP(H163,[1]NVKD!$C$1:$M$3296,11,0)</f>
        <v>2</v>
      </c>
      <c r="BC163" s="281" t="s">
        <v>1984</v>
      </c>
      <c r="BD163" s="283" t="str">
        <f t="shared" si="38"/>
        <v>Showroom Quang Trung</v>
      </c>
      <c r="BF163" s="284">
        <f t="shared" si="39"/>
        <v>0.2</v>
      </c>
      <c r="BG163" s="284">
        <f>IFERROR(IF(Y163=0,0, IF(Y163 / VLOOKUP(M163,'[1]CSBH THƯỞNG XE'!$U$3:$AA$1100,7,FALSE) &lt; 0.5,0,MIN((Y163 / VLOOKUP(M163,'[1]CSBH THƯỞNG XE'!$U$3:$AA$1100,7,FALSE)) * 20%,20%))),0)</f>
        <v>0</v>
      </c>
      <c r="BI163" s="287"/>
    </row>
    <row r="164" spans="1:61" s="286" customFormat="1" ht="20.149999999999999" customHeight="1">
      <c r="A164" s="185">
        <v>46126</v>
      </c>
      <c r="B164" s="186">
        <f t="shared" si="32"/>
        <v>14</v>
      </c>
      <c r="C164" s="186">
        <f t="shared" si="33"/>
        <v>4</v>
      </c>
      <c r="D164" s="186">
        <f t="shared" si="34"/>
        <v>2026</v>
      </c>
      <c r="E164" s="185">
        <v>46136</v>
      </c>
      <c r="F164" s="187" t="s">
        <v>1235</v>
      </c>
      <c r="G164" s="188" t="s">
        <v>258</v>
      </c>
      <c r="H164" s="189" t="s">
        <v>186</v>
      </c>
      <c r="I164" s="189" t="s">
        <v>259</v>
      </c>
      <c r="J164" s="189" t="s">
        <v>1236</v>
      </c>
      <c r="K164" s="190"/>
      <c r="L164" s="190"/>
      <c r="M164" s="191" t="s">
        <v>110</v>
      </c>
      <c r="N164" s="191" t="s">
        <v>260</v>
      </c>
      <c r="O164" s="188" t="s">
        <v>140</v>
      </c>
      <c r="P164" s="192"/>
      <c r="Q164" s="180">
        <v>1</v>
      </c>
      <c r="R164" s="192" t="s">
        <v>826</v>
      </c>
      <c r="S164" s="193"/>
      <c r="T164" s="193"/>
      <c r="U164" s="193">
        <v>452054545</v>
      </c>
      <c r="V164" s="193"/>
      <c r="W164" s="194"/>
      <c r="X164" s="194"/>
      <c r="Y164" s="194"/>
      <c r="Z164" s="194"/>
      <c r="AA164" s="194">
        <v>0</v>
      </c>
      <c r="AB164" s="194">
        <f t="shared" si="29"/>
        <v>0</v>
      </c>
      <c r="AC164" s="195">
        <f t="shared" si="30"/>
        <v>0</v>
      </c>
      <c r="AD164" s="196">
        <f t="shared" si="31"/>
        <v>0</v>
      </c>
      <c r="AE164" s="195"/>
      <c r="AF164" s="195"/>
      <c r="AG164" s="195"/>
      <c r="AH164" s="193"/>
      <c r="AI164" s="197"/>
      <c r="AJ164" s="198"/>
      <c r="AK164" s="188" t="s">
        <v>250</v>
      </c>
      <c r="AL164" s="181">
        <f>IF(E164&gt;=DATE(2026,4,1),IF(OR($AK164="Khách hàng thông thường",$AK164="Khách hàng chuyển đổi xe xăng"),IFERROR(VLOOKUP($M164,'[1]CSBH THƯỞNG XE'!$U$3:$YY$800,3,0),0),IF($AK164="Khách hàng Khối Quân đội - Công An",IFERROR(VLOOKUP($M164,'[1]CSBH THƯỞNG XE'!$U$3:$X$600,4,0),0),IF($AK164="Khách hàng Giờ trái đất",IFERROR(VLOOKUP($M164,'[1]CSBH THƯỞNG XE'!$U$3:$Y$700,5,0),0),0))),0)</f>
        <v>16000000</v>
      </c>
      <c r="AM164" s="181"/>
      <c r="AN164" s="181"/>
      <c r="AO164" s="182">
        <f t="shared" si="35"/>
        <v>9600000</v>
      </c>
      <c r="AP164" s="182">
        <f t="shared" si="40"/>
        <v>9600000</v>
      </c>
      <c r="AQ164" s="183">
        <f t="shared" si="41"/>
        <v>9600000</v>
      </c>
      <c r="AR164" s="182">
        <f t="shared" si="36"/>
        <v>0</v>
      </c>
      <c r="AS164" s="182">
        <f t="shared" si="37"/>
        <v>0</v>
      </c>
      <c r="AT164" s="182">
        <v>0</v>
      </c>
      <c r="AU164" s="182">
        <v>0</v>
      </c>
      <c r="AV164" s="199"/>
      <c r="AW164" s="285"/>
      <c r="AX164" s="285"/>
      <c r="AY164" s="266"/>
      <c r="AZ164" s="280"/>
      <c r="BA164" s="281" t="s">
        <v>1983</v>
      </c>
      <c r="BB164" s="282">
        <f>VLOOKUP(H164,[1]NVKD!$C$1:$M$3296,11,0)</f>
        <v>3</v>
      </c>
      <c r="BC164" s="281" t="s">
        <v>1982</v>
      </c>
      <c r="BD164" s="283" t="str">
        <f t="shared" si="38"/>
        <v>Showroom 50 Nguyễn Văn Tăng</v>
      </c>
      <c r="BF164" s="284">
        <f t="shared" si="39"/>
        <v>0</v>
      </c>
      <c r="BG164" s="284">
        <f>IFERROR(IF(Y164=0,0, IF(Y164 / VLOOKUP(M164,'[1]CSBH THƯỞNG XE'!$U$3:$AA$1100,7,FALSE) &lt; 0.5,0,MIN((Y164 / VLOOKUP(M164,'[1]CSBH THƯỞNG XE'!$U$3:$AA$1100,7,FALSE)) * 20%,20%))),0)</f>
        <v>0</v>
      </c>
      <c r="BI164" s="287"/>
    </row>
    <row r="165" spans="1:61" s="286" customFormat="1" ht="20.149999999999999" customHeight="1">
      <c r="A165" s="185">
        <v>46133</v>
      </c>
      <c r="B165" s="186">
        <f t="shared" si="32"/>
        <v>21</v>
      </c>
      <c r="C165" s="186">
        <f t="shared" si="33"/>
        <v>4</v>
      </c>
      <c r="D165" s="186">
        <f t="shared" si="34"/>
        <v>2026</v>
      </c>
      <c r="E165" s="185">
        <v>46136</v>
      </c>
      <c r="F165" s="187" t="s">
        <v>1237</v>
      </c>
      <c r="G165" s="188" t="s">
        <v>254</v>
      </c>
      <c r="H165" s="189" t="s">
        <v>131</v>
      </c>
      <c r="I165" s="189" t="s">
        <v>169</v>
      </c>
      <c r="J165" s="189" t="s">
        <v>727</v>
      </c>
      <c r="K165" s="190"/>
      <c r="L165" s="190"/>
      <c r="M165" s="191" t="s">
        <v>110</v>
      </c>
      <c r="N165" s="191" t="s">
        <v>267</v>
      </c>
      <c r="O165" s="188" t="s">
        <v>105</v>
      </c>
      <c r="P165" s="192"/>
      <c r="Q165" s="180">
        <v>1</v>
      </c>
      <c r="R165" s="192" t="s">
        <v>729</v>
      </c>
      <c r="S165" s="193"/>
      <c r="T165" s="193"/>
      <c r="U165" s="193">
        <v>447509091</v>
      </c>
      <c r="V165" s="193"/>
      <c r="W165" s="194">
        <v>9846600</v>
      </c>
      <c r="X165" s="194"/>
      <c r="Y165" s="194">
        <v>3829889</v>
      </c>
      <c r="Z165" s="194"/>
      <c r="AA165" s="194">
        <v>5000000</v>
      </c>
      <c r="AB165" s="194">
        <f t="shared" si="29"/>
        <v>5000000</v>
      </c>
      <c r="AC165" s="195">
        <f t="shared" si="30"/>
        <v>5000000</v>
      </c>
      <c r="AD165" s="196">
        <f t="shared" si="31"/>
        <v>5000000</v>
      </c>
      <c r="AE165" s="195"/>
      <c r="AF165" s="195"/>
      <c r="AG165" s="195"/>
      <c r="AH165" s="193"/>
      <c r="AI165" s="197"/>
      <c r="AJ165" s="198"/>
      <c r="AK165" s="188" t="s">
        <v>250</v>
      </c>
      <c r="AL165" s="181">
        <f>IF(E165&gt;=DATE(2026,4,1),IF(OR($AK165="Khách hàng thông thường",$AK165="Khách hàng chuyển đổi xe xăng"),IFERROR(VLOOKUP($M165,'[1]CSBH THƯỞNG XE'!$U$3:$YY$800,3,0),0),IF($AK165="Khách hàng Khối Quân đội - Công An",IFERROR(VLOOKUP($M165,'[1]CSBH THƯỞNG XE'!$U$3:$X$600,4,0),0),IF($AK165="Khách hàng Giờ trái đất",IFERROR(VLOOKUP($M165,'[1]CSBH THƯỞNG XE'!$U$3:$Y$700,5,0),0),0))),0)</f>
        <v>16000000</v>
      </c>
      <c r="AM165" s="181"/>
      <c r="AN165" s="181"/>
      <c r="AO165" s="182">
        <f t="shared" si="35"/>
        <v>11000000</v>
      </c>
      <c r="AP165" s="182">
        <f t="shared" si="40"/>
        <v>11000000</v>
      </c>
      <c r="AQ165" s="183">
        <f t="shared" si="41"/>
        <v>11000000</v>
      </c>
      <c r="AR165" s="182">
        <f t="shared" si="36"/>
        <v>0</v>
      </c>
      <c r="AS165" s="182">
        <f t="shared" si="37"/>
        <v>0</v>
      </c>
      <c r="AT165" s="182">
        <v>0</v>
      </c>
      <c r="AU165" s="182">
        <v>9846600</v>
      </c>
      <c r="AV165" s="194">
        <v>3829889</v>
      </c>
      <c r="AW165" s="285"/>
      <c r="AX165" s="285"/>
      <c r="AY165" s="266"/>
      <c r="AZ165" s="280"/>
      <c r="BA165" s="281">
        <v>0</v>
      </c>
      <c r="BB165" s="282">
        <f>VLOOKUP(H165,[1]NVKD!$C$1:$M$3296,11,0)</f>
        <v>3</v>
      </c>
      <c r="BC165" s="281" t="s">
        <v>1984</v>
      </c>
      <c r="BD165" s="283" t="str">
        <f t="shared" si="38"/>
        <v>Showroom Sala</v>
      </c>
      <c r="BF165" s="284">
        <f t="shared" si="39"/>
        <v>0.2</v>
      </c>
      <c r="BG165" s="284">
        <f>IFERROR(IF(Y165=0,0, IF(Y165 / VLOOKUP(M165,'[1]CSBH THƯỞNG XE'!$U$3:$AA$1100,7,FALSE) &lt; 0.5,0,MIN((Y165 / VLOOKUP(M165,'[1]CSBH THƯỞNG XE'!$U$3:$AA$1100,7,FALSE)) * 20%,20%))),0)</f>
        <v>0.2</v>
      </c>
      <c r="BI165" s="287"/>
    </row>
    <row r="166" spans="1:61" s="286" customFormat="1" ht="20.149999999999999" customHeight="1">
      <c r="A166" s="185">
        <v>46134</v>
      </c>
      <c r="B166" s="186">
        <f t="shared" si="32"/>
        <v>22</v>
      </c>
      <c r="C166" s="186">
        <f t="shared" si="33"/>
        <v>4</v>
      </c>
      <c r="D166" s="186">
        <f t="shared" si="34"/>
        <v>2026</v>
      </c>
      <c r="E166" s="185">
        <v>46136</v>
      </c>
      <c r="F166" s="187" t="s">
        <v>1238</v>
      </c>
      <c r="G166" s="188" t="s">
        <v>246</v>
      </c>
      <c r="H166" s="189" t="s">
        <v>132</v>
      </c>
      <c r="I166" s="189" t="s">
        <v>247</v>
      </c>
      <c r="J166" s="189" t="s">
        <v>873</v>
      </c>
      <c r="K166" s="190"/>
      <c r="L166" s="190"/>
      <c r="M166" s="191" t="s">
        <v>1239</v>
      </c>
      <c r="N166" s="191" t="s">
        <v>255</v>
      </c>
      <c r="O166" s="188" t="s">
        <v>875</v>
      </c>
      <c r="P166" s="192"/>
      <c r="Q166" s="180">
        <v>1</v>
      </c>
      <c r="R166" s="192" t="s">
        <v>877</v>
      </c>
      <c r="S166" s="193"/>
      <c r="T166" s="193"/>
      <c r="U166" s="193">
        <v>769572727</v>
      </c>
      <c r="V166" s="193"/>
      <c r="W166" s="194"/>
      <c r="X166" s="194"/>
      <c r="Y166" s="194"/>
      <c r="Z166" s="194"/>
      <c r="AA166" s="194">
        <v>20000000</v>
      </c>
      <c r="AB166" s="194">
        <f t="shared" si="29"/>
        <v>20000000</v>
      </c>
      <c r="AC166" s="195">
        <f t="shared" si="30"/>
        <v>20000000</v>
      </c>
      <c r="AD166" s="196">
        <f t="shared" si="31"/>
        <v>20000000</v>
      </c>
      <c r="AE166" s="195"/>
      <c r="AF166" s="195"/>
      <c r="AG166" s="195"/>
      <c r="AH166" s="193"/>
      <c r="AI166" s="197"/>
      <c r="AJ166" s="198"/>
      <c r="AK166" s="188" t="s">
        <v>250</v>
      </c>
      <c r="AL166" s="181">
        <f>IF(E166&gt;=DATE(2026,4,1),IF(OR($AK166="Khách hàng thông thường",$AK166="Khách hàng chuyển đổi xe xăng"),IFERROR(VLOOKUP($M166,'[1]CSBH THƯỞNG XE'!$U$3:$YY$800,3,0),0),IF($AK166="Khách hàng Khối Quân đội - Công An",IFERROR(VLOOKUP($M166,'[1]CSBH THƯỞNG XE'!$U$3:$X$600,4,0),0),IF($AK166="Khách hàng Giờ trái đất",IFERROR(VLOOKUP($M166,'[1]CSBH THƯỞNG XE'!$U$3:$Y$700,5,0),0),0))),0)</f>
        <v>40000000</v>
      </c>
      <c r="AM166" s="181"/>
      <c r="AN166" s="181"/>
      <c r="AO166" s="182">
        <f t="shared" si="35"/>
        <v>16000000</v>
      </c>
      <c r="AP166" s="182">
        <f t="shared" si="40"/>
        <v>16000000</v>
      </c>
      <c r="AQ166" s="183">
        <f t="shared" si="41"/>
        <v>16000000</v>
      </c>
      <c r="AR166" s="182">
        <f t="shared" si="36"/>
        <v>0</v>
      </c>
      <c r="AS166" s="182">
        <f t="shared" si="37"/>
        <v>0</v>
      </c>
      <c r="AT166" s="182">
        <v>0</v>
      </c>
      <c r="AU166" s="182">
        <v>0</v>
      </c>
      <c r="AV166" s="199"/>
      <c r="AW166" s="285"/>
      <c r="AX166" s="285"/>
      <c r="AY166" s="266"/>
      <c r="AZ166" s="280"/>
      <c r="BA166" s="281" t="s">
        <v>1981</v>
      </c>
      <c r="BB166" s="282">
        <f>VLOOKUP(H166,[1]NVKD!$C$1:$M$3296,11,0)</f>
        <v>10</v>
      </c>
      <c r="BC166" s="281" t="s">
        <v>1984</v>
      </c>
      <c r="BD166" s="283" t="str">
        <f t="shared" si="38"/>
        <v>Showroom Bến Lức</v>
      </c>
      <c r="BF166" s="284">
        <f t="shared" si="39"/>
        <v>0.2</v>
      </c>
      <c r="BG166" s="284">
        <f>IFERROR(IF(Y166=0,0, IF(Y166 / VLOOKUP(M166,'[1]CSBH THƯỞNG XE'!$U$3:$AA$1100,7,FALSE) &lt; 0.5,0,MIN((Y166 / VLOOKUP(M166,'[1]CSBH THƯỞNG XE'!$U$3:$AA$1100,7,FALSE)) * 20%,20%))),0)</f>
        <v>0</v>
      </c>
      <c r="BH166" s="257" t="s">
        <v>874</v>
      </c>
      <c r="BI166" s="287"/>
    </row>
    <row r="167" spans="1:61" s="286" customFormat="1" ht="20.149999999999999" customHeight="1">
      <c r="A167" s="185">
        <v>46121</v>
      </c>
      <c r="B167" s="186">
        <f t="shared" si="32"/>
        <v>9</v>
      </c>
      <c r="C167" s="186">
        <f t="shared" si="33"/>
        <v>4</v>
      </c>
      <c r="D167" s="186">
        <f t="shared" si="34"/>
        <v>2026</v>
      </c>
      <c r="E167" s="185">
        <v>46137</v>
      </c>
      <c r="F167" s="187" t="s">
        <v>1240</v>
      </c>
      <c r="G167" s="188" t="s">
        <v>263</v>
      </c>
      <c r="H167" s="189" t="s">
        <v>152</v>
      </c>
      <c r="I167" s="189" t="s">
        <v>273</v>
      </c>
      <c r="J167" s="189" t="s">
        <v>756</v>
      </c>
      <c r="K167" s="190"/>
      <c r="L167" s="190"/>
      <c r="M167" s="191" t="s">
        <v>257</v>
      </c>
      <c r="N167" s="191" t="s">
        <v>266</v>
      </c>
      <c r="O167" s="188" t="s">
        <v>168</v>
      </c>
      <c r="P167" s="192"/>
      <c r="Q167" s="180">
        <v>1</v>
      </c>
      <c r="R167" s="192" t="s">
        <v>758</v>
      </c>
      <c r="S167" s="193"/>
      <c r="T167" s="193"/>
      <c r="U167" s="193">
        <v>688963636</v>
      </c>
      <c r="V167" s="193"/>
      <c r="W167" s="194">
        <v>8003000</v>
      </c>
      <c r="X167" s="194"/>
      <c r="Y167" s="194"/>
      <c r="Z167" s="194"/>
      <c r="AA167" s="194">
        <v>12000000</v>
      </c>
      <c r="AB167" s="194">
        <f t="shared" si="29"/>
        <v>12000000</v>
      </c>
      <c r="AC167" s="195">
        <f t="shared" si="30"/>
        <v>12000000</v>
      </c>
      <c r="AD167" s="196">
        <f t="shared" si="31"/>
        <v>12000000</v>
      </c>
      <c r="AE167" s="195"/>
      <c r="AF167" s="195"/>
      <c r="AG167" s="195"/>
      <c r="AH167" s="193"/>
      <c r="AI167" s="197"/>
      <c r="AJ167" s="198"/>
      <c r="AK167" s="188" t="s">
        <v>250</v>
      </c>
      <c r="AL167" s="181">
        <f>IF(E167&gt;=DATE(2026,4,1),IF(OR($AK167="Khách hàng thông thường",$AK167="Khách hàng chuyển đổi xe xăng"),IFERROR(VLOOKUP($M167,'[1]CSBH THƯỞNG XE'!$U$3:$YY$800,3,0),0),IF($AK167="Khách hàng Khối Quân đội - Công An",IFERROR(VLOOKUP($M167,'[1]CSBH THƯỞNG XE'!$U$3:$X$600,4,0),0),IF($AK167="Khách hàng Giờ trái đất",IFERROR(VLOOKUP($M167,'[1]CSBH THƯỞNG XE'!$U$3:$Y$700,5,0),0),0))),0)</f>
        <v>20000000</v>
      </c>
      <c r="AM167" s="181"/>
      <c r="AN167" s="181"/>
      <c r="AO167" s="182">
        <f t="shared" si="35"/>
        <v>6400000</v>
      </c>
      <c r="AP167" s="182">
        <f t="shared" si="40"/>
        <v>6400000</v>
      </c>
      <c r="AQ167" s="183">
        <f t="shared" si="41"/>
        <v>6400000</v>
      </c>
      <c r="AR167" s="182">
        <f t="shared" si="36"/>
        <v>0</v>
      </c>
      <c r="AS167" s="182">
        <f t="shared" si="37"/>
        <v>0</v>
      </c>
      <c r="AT167" s="182">
        <v>4000000</v>
      </c>
      <c r="AU167" s="182">
        <v>2400900</v>
      </c>
      <c r="AV167" s="199"/>
      <c r="AW167" s="285"/>
      <c r="AX167" s="285"/>
      <c r="AY167" s="266"/>
      <c r="AZ167" s="280"/>
      <c r="BA167" s="281" t="s">
        <v>1981</v>
      </c>
      <c r="BB167" s="282">
        <f>VLOOKUP(H167,[1]NVKD!$C$1:$M$3296,11,0)</f>
        <v>4</v>
      </c>
      <c r="BC167" s="281" t="s">
        <v>1982</v>
      </c>
      <c r="BD167" s="283" t="str">
        <f t="shared" si="38"/>
        <v>Showroom Quang Trung</v>
      </c>
      <c r="BF167" s="284">
        <f t="shared" si="39"/>
        <v>0.2</v>
      </c>
      <c r="BG167" s="284">
        <f>IFERROR(IF(Y167=0,0, IF(Y167 / VLOOKUP(M167,'[1]CSBH THƯỞNG XE'!$U$3:$AA$1100,7,FALSE) &lt; 0.5,0,MIN((Y167 / VLOOKUP(M167,'[1]CSBH THƯỞNG XE'!$U$3:$AA$1100,7,FALSE)) * 20%,20%))),0)</f>
        <v>0</v>
      </c>
      <c r="BI167" s="287"/>
    </row>
    <row r="168" spans="1:61" s="286" customFormat="1" ht="20.149999999999999" customHeight="1">
      <c r="A168" s="185">
        <v>46133</v>
      </c>
      <c r="B168" s="186">
        <f t="shared" si="32"/>
        <v>21</v>
      </c>
      <c r="C168" s="186">
        <f t="shared" si="33"/>
        <v>4</v>
      </c>
      <c r="D168" s="186">
        <f t="shared" si="34"/>
        <v>2026</v>
      </c>
      <c r="E168" s="185">
        <v>46137</v>
      </c>
      <c r="F168" s="187" t="s">
        <v>1241</v>
      </c>
      <c r="G168" s="188" t="s">
        <v>258</v>
      </c>
      <c r="H168" s="189" t="s">
        <v>139</v>
      </c>
      <c r="I168" s="189" t="s">
        <v>259</v>
      </c>
      <c r="J168" s="189" t="s">
        <v>1242</v>
      </c>
      <c r="K168" s="190"/>
      <c r="L168" s="190"/>
      <c r="M168" s="191" t="s">
        <v>56</v>
      </c>
      <c r="N168" s="191" t="s">
        <v>277</v>
      </c>
      <c r="O168" s="188" t="s">
        <v>140</v>
      </c>
      <c r="P168" s="192"/>
      <c r="Q168" s="180">
        <v>1</v>
      </c>
      <c r="R168" s="192" t="s">
        <v>829</v>
      </c>
      <c r="S168" s="193"/>
      <c r="T168" s="193"/>
      <c r="U168" s="193">
        <v>260590909</v>
      </c>
      <c r="V168" s="193"/>
      <c r="W168" s="194"/>
      <c r="X168" s="194"/>
      <c r="Y168" s="194"/>
      <c r="Z168" s="194"/>
      <c r="AA168" s="194">
        <v>0</v>
      </c>
      <c r="AB168" s="194">
        <f t="shared" si="29"/>
        <v>0</v>
      </c>
      <c r="AC168" s="195">
        <f t="shared" si="30"/>
        <v>0</v>
      </c>
      <c r="AD168" s="196">
        <f t="shared" si="31"/>
        <v>0</v>
      </c>
      <c r="AE168" s="195"/>
      <c r="AF168" s="195"/>
      <c r="AG168" s="195"/>
      <c r="AH168" s="193"/>
      <c r="AI168" s="197"/>
      <c r="AJ168" s="198"/>
      <c r="AK168" s="188" t="s">
        <v>250</v>
      </c>
      <c r="AL168" s="181">
        <f>IF(E168&gt;=DATE(2026,4,1),IF(OR($AK168="Khách hàng thông thường",$AK168="Khách hàng chuyển đổi xe xăng"),IFERROR(VLOOKUP($M168,'[1]CSBH THƯỞNG XE'!$U$3:$YY$800,3,0),0),IF($AK168="Khách hàng Khối Quân đội - Công An",IFERROR(VLOOKUP($M168,'[1]CSBH THƯỞNG XE'!$U$3:$X$600,4,0),0),IF($AK168="Khách hàng Giờ trái đất",IFERROR(VLOOKUP($M168,'[1]CSBH THƯỞNG XE'!$U$3:$Y$700,5,0),0),0))),0)</f>
        <v>8500000</v>
      </c>
      <c r="AM168" s="181"/>
      <c r="AN168" s="181"/>
      <c r="AO168" s="182">
        <f t="shared" si="35"/>
        <v>6800000</v>
      </c>
      <c r="AP168" s="182">
        <f t="shared" si="40"/>
        <v>6800000</v>
      </c>
      <c r="AQ168" s="183">
        <f t="shared" si="41"/>
        <v>6800000</v>
      </c>
      <c r="AR168" s="182">
        <f t="shared" si="36"/>
        <v>0</v>
      </c>
      <c r="AS168" s="182">
        <f t="shared" si="37"/>
        <v>0</v>
      </c>
      <c r="AT168" s="182">
        <v>0</v>
      </c>
      <c r="AU168" s="182">
        <v>0</v>
      </c>
      <c r="AV168" s="199"/>
      <c r="AW168" s="285"/>
      <c r="AX168" s="285"/>
      <c r="AY168" s="266"/>
      <c r="AZ168" s="280"/>
      <c r="BA168" s="281" t="s">
        <v>1981</v>
      </c>
      <c r="BB168" s="282">
        <f>VLOOKUP(H168,[1]NVKD!$C$1:$M$3296,11,0)</f>
        <v>8</v>
      </c>
      <c r="BC168" s="281" t="s">
        <v>1984</v>
      </c>
      <c r="BD168" s="283" t="str">
        <f t="shared" si="38"/>
        <v>Showroom 50 Nguyễn Văn Tăng</v>
      </c>
      <c r="BF168" s="284">
        <f t="shared" si="39"/>
        <v>0.2</v>
      </c>
      <c r="BG168" s="284">
        <f>IFERROR(IF(Y168=0,0, IF(Y168 / VLOOKUP(M168,'[1]CSBH THƯỞNG XE'!$U$3:$AA$1100,7,FALSE) &lt; 0.5,0,MIN((Y168 / VLOOKUP(M168,'[1]CSBH THƯỞNG XE'!$U$3:$AA$1100,7,FALSE)) * 20%,20%))),0)</f>
        <v>0</v>
      </c>
      <c r="BI168" s="287"/>
    </row>
    <row r="169" spans="1:61" s="286" customFormat="1" ht="20.149999999999999" customHeight="1">
      <c r="A169" s="185">
        <v>46119</v>
      </c>
      <c r="B169" s="186">
        <f t="shared" si="32"/>
        <v>7</v>
      </c>
      <c r="C169" s="186">
        <f t="shared" si="33"/>
        <v>4</v>
      </c>
      <c r="D169" s="186">
        <f t="shared" si="34"/>
        <v>2026</v>
      </c>
      <c r="E169" s="185">
        <v>46137</v>
      </c>
      <c r="F169" s="187" t="s">
        <v>1243</v>
      </c>
      <c r="G169" s="188" t="s">
        <v>263</v>
      </c>
      <c r="H169" s="189" t="s">
        <v>152</v>
      </c>
      <c r="I169" s="189" t="s">
        <v>273</v>
      </c>
      <c r="J169" s="189" t="s">
        <v>763</v>
      </c>
      <c r="K169" s="190"/>
      <c r="L169" s="190"/>
      <c r="M169" s="191" t="s">
        <v>110</v>
      </c>
      <c r="N169" s="191" t="s">
        <v>255</v>
      </c>
      <c r="O169" s="188" t="s">
        <v>105</v>
      </c>
      <c r="P169" s="192"/>
      <c r="Q169" s="180">
        <v>1</v>
      </c>
      <c r="R169" s="192" t="s">
        <v>765</v>
      </c>
      <c r="S169" s="193"/>
      <c r="T169" s="193"/>
      <c r="U169" s="193">
        <v>442963636</v>
      </c>
      <c r="V169" s="193"/>
      <c r="W169" s="194"/>
      <c r="X169" s="194"/>
      <c r="Y169" s="194"/>
      <c r="Z169" s="194"/>
      <c r="AA169" s="194">
        <v>10000000</v>
      </c>
      <c r="AB169" s="194">
        <f t="shared" ref="AB169:AB208" si="42">SUM(X169:AA169)-Y169</f>
        <v>10000000</v>
      </c>
      <c r="AC169" s="195">
        <f t="shared" ref="AC169:AC208" si="43">SUM(X169:AA169)-Y169-X169</f>
        <v>10000000</v>
      </c>
      <c r="AD169" s="196">
        <f t="shared" si="31"/>
        <v>10000000</v>
      </c>
      <c r="AE169" s="195"/>
      <c r="AF169" s="195"/>
      <c r="AG169" s="195"/>
      <c r="AH169" s="193"/>
      <c r="AI169" s="197"/>
      <c r="AJ169" s="198"/>
      <c r="AK169" s="188" t="s">
        <v>250</v>
      </c>
      <c r="AL169" s="181">
        <f>IF(E169&gt;=DATE(2026,4,1),IF(OR($AK169="Khách hàng thông thường",$AK169="Khách hàng chuyển đổi xe xăng"),IFERROR(VLOOKUP($M169,'[1]CSBH THƯỞNG XE'!$U$3:$YY$800,3,0),0),IF($AK169="Khách hàng Khối Quân đội - Công An",IFERROR(VLOOKUP($M169,'[1]CSBH THƯỞNG XE'!$U$3:$X$600,4,0),0),IF($AK169="Khách hàng Giờ trái đất",IFERROR(VLOOKUP($M169,'[1]CSBH THƯỞNG XE'!$U$3:$Y$700,5,0),0),0))),0)</f>
        <v>16000000</v>
      </c>
      <c r="AM169" s="181"/>
      <c r="AN169" s="181"/>
      <c r="AO169" s="182">
        <f t="shared" si="35"/>
        <v>3600000</v>
      </c>
      <c r="AP169" s="182">
        <f t="shared" si="40"/>
        <v>3600000</v>
      </c>
      <c r="AQ169" s="183">
        <f t="shared" si="41"/>
        <v>3600000</v>
      </c>
      <c r="AR169" s="182">
        <f t="shared" si="36"/>
        <v>0</v>
      </c>
      <c r="AS169" s="182">
        <f t="shared" si="37"/>
        <v>0</v>
      </c>
      <c r="AT169" s="182">
        <v>3000000</v>
      </c>
      <c r="AU169" s="182">
        <v>0</v>
      </c>
      <c r="AV169" s="199"/>
      <c r="AW169" s="285"/>
      <c r="AX169" s="285"/>
      <c r="AY169" s="266"/>
      <c r="AZ169" s="280"/>
      <c r="BA169" s="281" t="s">
        <v>1983</v>
      </c>
      <c r="BB169" s="282">
        <f>VLOOKUP(H169,[1]NVKD!$C$1:$M$3296,11,0)</f>
        <v>4</v>
      </c>
      <c r="BC169" s="281" t="s">
        <v>1982</v>
      </c>
      <c r="BD169" s="283" t="str">
        <f t="shared" si="38"/>
        <v>Showroom Quang Trung</v>
      </c>
      <c r="BF169" s="284">
        <f t="shared" si="39"/>
        <v>0</v>
      </c>
      <c r="BG169" s="284">
        <f>IFERROR(IF(Y169=0,0, IF(Y169 / VLOOKUP(M169,'[1]CSBH THƯỞNG XE'!$U$3:$AA$1100,7,FALSE) &lt; 0.5,0,MIN((Y169 / VLOOKUP(M169,'[1]CSBH THƯỞNG XE'!$U$3:$AA$1100,7,FALSE)) * 20%,20%))),0)</f>
        <v>0</v>
      </c>
      <c r="BI169" s="287"/>
    </row>
    <row r="170" spans="1:61" s="286" customFormat="1" ht="20.149999999999999" customHeight="1">
      <c r="A170" s="185">
        <v>46136</v>
      </c>
      <c r="B170" s="186">
        <f t="shared" si="32"/>
        <v>24</v>
      </c>
      <c r="C170" s="186">
        <f t="shared" si="33"/>
        <v>4</v>
      </c>
      <c r="D170" s="186">
        <f t="shared" si="34"/>
        <v>2026</v>
      </c>
      <c r="E170" s="185">
        <v>46137</v>
      </c>
      <c r="F170" s="187" t="s">
        <v>1244</v>
      </c>
      <c r="G170" s="188" t="s">
        <v>263</v>
      </c>
      <c r="H170" s="189" t="s">
        <v>182</v>
      </c>
      <c r="I170" s="189" t="s">
        <v>273</v>
      </c>
      <c r="J170" s="189" t="s">
        <v>760</v>
      </c>
      <c r="K170" s="190"/>
      <c r="L170" s="190"/>
      <c r="M170" s="191" t="s">
        <v>55</v>
      </c>
      <c r="N170" s="191" t="s">
        <v>255</v>
      </c>
      <c r="O170" s="188" t="s">
        <v>134</v>
      </c>
      <c r="P170" s="192"/>
      <c r="Q170" s="180">
        <v>1</v>
      </c>
      <c r="R170" s="192" t="s">
        <v>762</v>
      </c>
      <c r="S170" s="193"/>
      <c r="T170" s="193"/>
      <c r="U170" s="193">
        <v>252618182</v>
      </c>
      <c r="V170" s="193"/>
      <c r="W170" s="194"/>
      <c r="X170" s="194"/>
      <c r="Y170" s="194"/>
      <c r="Z170" s="194"/>
      <c r="AA170" s="194">
        <v>6000000</v>
      </c>
      <c r="AB170" s="194">
        <f t="shared" si="42"/>
        <v>6000000</v>
      </c>
      <c r="AC170" s="195">
        <f t="shared" si="43"/>
        <v>6000000</v>
      </c>
      <c r="AD170" s="196">
        <f t="shared" si="31"/>
        <v>6000000</v>
      </c>
      <c r="AE170" s="195"/>
      <c r="AF170" s="195"/>
      <c r="AG170" s="195"/>
      <c r="AH170" s="193"/>
      <c r="AI170" s="197"/>
      <c r="AJ170" s="198"/>
      <c r="AK170" s="188" t="s">
        <v>250</v>
      </c>
      <c r="AL170" s="181">
        <f>IF(E170&gt;=DATE(2026,4,1),IF(OR($AK170="Khách hàng thông thường",$AK170="Khách hàng chuyển đổi xe xăng"),IFERROR(VLOOKUP($M170,'[1]CSBH THƯỞNG XE'!$U$3:$YY$800,3,0),0),IF($AK170="Khách hàng Khối Quân đội - Công An",IFERROR(VLOOKUP($M170,'[1]CSBH THƯỞNG XE'!$U$3:$X$600,4,0),0),IF($AK170="Khách hàng Giờ trái đất",IFERROR(VLOOKUP($M170,'[1]CSBH THƯỞNG XE'!$U$3:$Y$700,5,0),0),0))),0)</f>
        <v>8000000</v>
      </c>
      <c r="AM170" s="181"/>
      <c r="AN170" s="181"/>
      <c r="AO170" s="182">
        <f t="shared" si="35"/>
        <v>1600000</v>
      </c>
      <c r="AP170" s="182">
        <f t="shared" si="40"/>
        <v>1600000</v>
      </c>
      <c r="AQ170" s="183">
        <f t="shared" si="41"/>
        <v>1600000</v>
      </c>
      <c r="AR170" s="182">
        <f t="shared" si="36"/>
        <v>0</v>
      </c>
      <c r="AS170" s="182">
        <f t="shared" si="37"/>
        <v>0</v>
      </c>
      <c r="AT170" s="182">
        <v>0</v>
      </c>
      <c r="AU170" s="182">
        <v>0</v>
      </c>
      <c r="AV170" s="199"/>
      <c r="AW170" s="285"/>
      <c r="AX170" s="285"/>
      <c r="AY170" s="266"/>
      <c r="AZ170" s="280">
        <v>0</v>
      </c>
      <c r="BA170" s="281" t="s">
        <v>1981</v>
      </c>
      <c r="BB170" s="282">
        <f>VLOOKUP(H170,[1]NVKD!$C$1:$M$3296,11,0)</f>
        <v>2</v>
      </c>
      <c r="BC170" s="281" t="s">
        <v>1984</v>
      </c>
      <c r="BD170" s="283" t="str">
        <f t="shared" si="38"/>
        <v>Showroom Quang Trung</v>
      </c>
      <c r="BF170" s="284">
        <f t="shared" si="39"/>
        <v>0.2</v>
      </c>
      <c r="BG170" s="284">
        <f>IFERROR(IF(Y170=0,0, IF(Y170 / VLOOKUP(M170,'[1]CSBH THƯỞNG XE'!$U$3:$AA$1100,7,FALSE) &lt; 0.5,0,MIN((Y170 / VLOOKUP(M170,'[1]CSBH THƯỞNG XE'!$U$3:$AA$1100,7,FALSE)) * 20%,20%))),0)</f>
        <v>0</v>
      </c>
      <c r="BI170" s="287"/>
    </row>
    <row r="171" spans="1:61" s="286" customFormat="1" ht="20.149999999999999" customHeight="1">
      <c r="A171" s="185">
        <v>46138</v>
      </c>
      <c r="B171" s="186">
        <f t="shared" si="32"/>
        <v>26</v>
      </c>
      <c r="C171" s="186">
        <f t="shared" si="33"/>
        <v>4</v>
      </c>
      <c r="D171" s="186">
        <f t="shared" si="34"/>
        <v>2026</v>
      </c>
      <c r="E171" s="185">
        <v>46139</v>
      </c>
      <c r="F171" s="187" t="s">
        <v>1245</v>
      </c>
      <c r="G171" s="188" t="s">
        <v>263</v>
      </c>
      <c r="H171" s="189" t="s">
        <v>461</v>
      </c>
      <c r="I171" s="189" t="s">
        <v>264</v>
      </c>
      <c r="J171" s="189" t="s">
        <v>766</v>
      </c>
      <c r="K171" s="190"/>
      <c r="L171" s="190"/>
      <c r="M171" s="191" t="s">
        <v>51</v>
      </c>
      <c r="N171" s="191" t="s">
        <v>274</v>
      </c>
      <c r="O171" s="188" t="s">
        <v>105</v>
      </c>
      <c r="P171" s="192"/>
      <c r="Q171" s="180">
        <v>1</v>
      </c>
      <c r="R171" s="192" t="s">
        <v>768</v>
      </c>
      <c r="S171" s="193"/>
      <c r="T171" s="193"/>
      <c r="U171" s="193">
        <v>721809091</v>
      </c>
      <c r="V171" s="193"/>
      <c r="W171" s="194"/>
      <c r="X171" s="194"/>
      <c r="Y171" s="194"/>
      <c r="Z171" s="194"/>
      <c r="AA171" s="194">
        <v>15000000</v>
      </c>
      <c r="AB171" s="194">
        <f t="shared" si="42"/>
        <v>15000000</v>
      </c>
      <c r="AC171" s="195">
        <f t="shared" si="43"/>
        <v>15000000</v>
      </c>
      <c r="AD171" s="196">
        <f t="shared" si="31"/>
        <v>15000000</v>
      </c>
      <c r="AE171" s="195"/>
      <c r="AF171" s="195"/>
      <c r="AG171" s="195"/>
      <c r="AH171" s="193"/>
      <c r="AI171" s="197"/>
      <c r="AJ171" s="198"/>
      <c r="AK171" s="188" t="s">
        <v>250</v>
      </c>
      <c r="AL171" s="181">
        <f>IF(E171&gt;=DATE(2026,4,1),IF(OR($AK171="Khách hàng thông thường",$AK171="Khách hàng chuyển đổi xe xăng"),IFERROR(VLOOKUP($M171,'[1]CSBH THƯỞNG XE'!$U$3:$YY$800,3,0),0),IF($AK171="Khách hàng Khối Quân đội - Công An",IFERROR(VLOOKUP($M171,'[1]CSBH THƯỞNG XE'!$U$3:$X$600,4,0),0),IF($AK171="Khách hàng Giờ trái đất",IFERROR(VLOOKUP($M171,'[1]CSBH THƯỞNG XE'!$U$3:$Y$700,5,0),0),0))),0)</f>
        <v>28000000</v>
      </c>
      <c r="AM171" s="181"/>
      <c r="AN171" s="181"/>
      <c r="AO171" s="182">
        <f t="shared" si="35"/>
        <v>10400000</v>
      </c>
      <c r="AP171" s="182">
        <f t="shared" si="40"/>
        <v>10400000</v>
      </c>
      <c r="AQ171" s="183">
        <f t="shared" si="41"/>
        <v>10400000</v>
      </c>
      <c r="AR171" s="182">
        <f t="shared" si="36"/>
        <v>0</v>
      </c>
      <c r="AS171" s="182">
        <f t="shared" si="37"/>
        <v>0</v>
      </c>
      <c r="AT171" s="182">
        <v>10000000</v>
      </c>
      <c r="AU171" s="182">
        <v>0</v>
      </c>
      <c r="AV171" s="199"/>
      <c r="AW171" s="285"/>
      <c r="AX171" s="285"/>
      <c r="AY171" s="266"/>
      <c r="AZ171" s="280">
        <v>0</v>
      </c>
      <c r="BA171" s="281" t="s">
        <v>1981</v>
      </c>
      <c r="BB171" s="282">
        <f>VLOOKUP(H171,[1]NVKD!$C$1:$M$3296,11,0)</f>
        <v>4</v>
      </c>
      <c r="BC171" s="281" t="s">
        <v>1984</v>
      </c>
      <c r="BD171" s="283" t="str">
        <f t="shared" si="38"/>
        <v>Showroom Quang Trung</v>
      </c>
      <c r="BF171" s="284">
        <f t="shared" si="39"/>
        <v>0.2</v>
      </c>
      <c r="BG171" s="284">
        <f>IFERROR(IF(Y171=0,0, IF(Y171 / VLOOKUP(M171,'[1]CSBH THƯỞNG XE'!$U$3:$AA$1100,7,FALSE) &lt; 0.5,0,MIN((Y171 / VLOOKUP(M171,'[1]CSBH THƯỞNG XE'!$U$3:$AA$1100,7,FALSE)) * 20%,20%))),0)</f>
        <v>0</v>
      </c>
      <c r="BI171" s="287"/>
    </row>
    <row r="172" spans="1:61" s="286" customFormat="1" ht="20.149999999999999" customHeight="1">
      <c r="A172" s="185">
        <v>46134</v>
      </c>
      <c r="B172" s="186">
        <f t="shared" si="32"/>
        <v>22</v>
      </c>
      <c r="C172" s="186">
        <f t="shared" si="33"/>
        <v>4</v>
      </c>
      <c r="D172" s="186">
        <f t="shared" si="34"/>
        <v>2026</v>
      </c>
      <c r="E172" s="185">
        <v>46139</v>
      </c>
      <c r="F172" s="187" t="s">
        <v>1246</v>
      </c>
      <c r="G172" s="188" t="s">
        <v>246</v>
      </c>
      <c r="H172" s="189" t="s">
        <v>133</v>
      </c>
      <c r="I172" s="189" t="s">
        <v>286</v>
      </c>
      <c r="J172" s="189" t="s">
        <v>884</v>
      </c>
      <c r="K172" s="190"/>
      <c r="L172" s="190"/>
      <c r="M172" s="191" t="s">
        <v>56</v>
      </c>
      <c r="N172" s="191" t="s">
        <v>274</v>
      </c>
      <c r="O172" s="188" t="s">
        <v>105</v>
      </c>
      <c r="P172" s="192"/>
      <c r="Q172" s="180">
        <v>1</v>
      </c>
      <c r="R172" s="192" t="s">
        <v>886</v>
      </c>
      <c r="S172" s="193"/>
      <c r="T172" s="193"/>
      <c r="U172" s="193">
        <v>263727273</v>
      </c>
      <c r="V172" s="193"/>
      <c r="W172" s="194"/>
      <c r="X172" s="194"/>
      <c r="Y172" s="194"/>
      <c r="Z172" s="194"/>
      <c r="AA172" s="194">
        <v>6000000</v>
      </c>
      <c r="AB172" s="194">
        <f t="shared" si="42"/>
        <v>6000000</v>
      </c>
      <c r="AC172" s="195">
        <f t="shared" si="43"/>
        <v>6000000</v>
      </c>
      <c r="AD172" s="196">
        <f t="shared" si="31"/>
        <v>6000000</v>
      </c>
      <c r="AE172" s="195"/>
      <c r="AF172" s="195"/>
      <c r="AG172" s="195"/>
      <c r="AH172" s="193"/>
      <c r="AI172" s="197"/>
      <c r="AJ172" s="198"/>
      <c r="AK172" s="188" t="s">
        <v>250</v>
      </c>
      <c r="AL172" s="181">
        <f>IF(E172&gt;=DATE(2026,4,1),IF(OR($AK172="Khách hàng thông thường",$AK172="Khách hàng chuyển đổi xe xăng"),IFERROR(VLOOKUP($M172,'[1]CSBH THƯỞNG XE'!$U$3:$YY$800,3,0),0),IF($AK172="Khách hàng Khối Quân đội - Công An",IFERROR(VLOOKUP($M172,'[1]CSBH THƯỞNG XE'!$U$3:$X$600,4,0),0),IF($AK172="Khách hàng Giờ trái đất",IFERROR(VLOOKUP($M172,'[1]CSBH THƯỞNG XE'!$U$3:$Y$700,5,0),0),0))),0)</f>
        <v>8500000</v>
      </c>
      <c r="AM172" s="181"/>
      <c r="AN172" s="181"/>
      <c r="AO172" s="182">
        <f t="shared" si="35"/>
        <v>2000000</v>
      </c>
      <c r="AP172" s="182">
        <f t="shared" si="40"/>
        <v>2000000</v>
      </c>
      <c r="AQ172" s="183">
        <f t="shared" si="41"/>
        <v>2000000</v>
      </c>
      <c r="AR172" s="182">
        <f t="shared" si="36"/>
        <v>0</v>
      </c>
      <c r="AS172" s="182">
        <f t="shared" si="37"/>
        <v>0</v>
      </c>
      <c r="AT172" s="182">
        <v>0</v>
      </c>
      <c r="AU172" s="182">
        <v>0</v>
      </c>
      <c r="AV172" s="199"/>
      <c r="AW172" s="285"/>
      <c r="AX172" s="285"/>
      <c r="AY172" s="266"/>
      <c r="AZ172" s="280"/>
      <c r="BA172" s="281" t="s">
        <v>1981</v>
      </c>
      <c r="BB172" s="282">
        <f>VLOOKUP(H172,[1]NVKD!$C$1:$M$3296,11,0)</f>
        <v>3</v>
      </c>
      <c r="BC172" s="281" t="s">
        <v>1984</v>
      </c>
      <c r="BD172" s="283" t="str">
        <f t="shared" si="38"/>
        <v>Showroom Bến Lức</v>
      </c>
      <c r="BF172" s="284">
        <f t="shared" si="39"/>
        <v>0.2</v>
      </c>
      <c r="BG172" s="284">
        <f>IFERROR(IF(Y172=0,0, IF(Y172 / VLOOKUP(M172,'[1]CSBH THƯỞNG XE'!$U$3:$AA$1100,7,FALSE) &lt; 0.5,0,MIN((Y172 / VLOOKUP(M172,'[1]CSBH THƯỞNG XE'!$U$3:$AA$1100,7,FALSE)) * 20%,20%))),0)</f>
        <v>0</v>
      </c>
      <c r="BI172" s="287"/>
    </row>
    <row r="173" spans="1:61" s="286" customFormat="1" ht="20.149999999999999" customHeight="1">
      <c r="A173" s="185">
        <v>46134</v>
      </c>
      <c r="B173" s="186">
        <f t="shared" si="32"/>
        <v>22</v>
      </c>
      <c r="C173" s="186">
        <f t="shared" si="33"/>
        <v>4</v>
      </c>
      <c r="D173" s="186">
        <f t="shared" si="34"/>
        <v>2026</v>
      </c>
      <c r="E173" s="185">
        <v>46140</v>
      </c>
      <c r="F173" s="187" t="s">
        <v>1247</v>
      </c>
      <c r="G173" s="188" t="s">
        <v>246</v>
      </c>
      <c r="H173" s="189" t="s">
        <v>133</v>
      </c>
      <c r="I173" s="189" t="s">
        <v>286</v>
      </c>
      <c r="J173" s="189" t="s">
        <v>893</v>
      </c>
      <c r="K173" s="190"/>
      <c r="L173" s="190"/>
      <c r="M173" s="191" t="s">
        <v>110</v>
      </c>
      <c r="N173" s="191" t="s">
        <v>255</v>
      </c>
      <c r="O173" s="188" t="s">
        <v>105</v>
      </c>
      <c r="P173" s="192"/>
      <c r="Q173" s="180">
        <v>1</v>
      </c>
      <c r="R173" s="192" t="s">
        <v>895</v>
      </c>
      <c r="S173" s="193"/>
      <c r="T173" s="193"/>
      <c r="U173" s="193">
        <v>452054545</v>
      </c>
      <c r="V173" s="193"/>
      <c r="W173" s="194"/>
      <c r="X173" s="194"/>
      <c r="Y173" s="194"/>
      <c r="Z173" s="194"/>
      <c r="AA173" s="194">
        <v>0</v>
      </c>
      <c r="AB173" s="194">
        <f t="shared" si="42"/>
        <v>0</v>
      </c>
      <c r="AC173" s="195">
        <f t="shared" si="43"/>
        <v>0</v>
      </c>
      <c r="AD173" s="196">
        <f t="shared" si="31"/>
        <v>0</v>
      </c>
      <c r="AE173" s="195"/>
      <c r="AF173" s="195"/>
      <c r="AG173" s="195"/>
      <c r="AH173" s="193"/>
      <c r="AI173" s="197"/>
      <c r="AJ173" s="198"/>
      <c r="AK173" s="188" t="s">
        <v>250</v>
      </c>
      <c r="AL173" s="181">
        <f>IF(E173&gt;=DATE(2026,4,1),IF(OR($AK173="Khách hàng thông thường",$AK173="Khách hàng chuyển đổi xe xăng"),IFERROR(VLOOKUP($M173,'[1]CSBH THƯỞNG XE'!$U$3:$YY$800,3,0),0),IF($AK173="Khách hàng Khối Quân đội - Công An",IFERROR(VLOOKUP($M173,'[1]CSBH THƯỞNG XE'!$U$3:$X$600,4,0),0),IF($AK173="Khách hàng Giờ trái đất",IFERROR(VLOOKUP($M173,'[1]CSBH THƯỞNG XE'!$U$3:$Y$700,5,0),0),0))),0)</f>
        <v>16000000</v>
      </c>
      <c r="AM173" s="181"/>
      <c r="AN173" s="181"/>
      <c r="AO173" s="182">
        <f t="shared" si="35"/>
        <v>9600000</v>
      </c>
      <c r="AP173" s="182">
        <f t="shared" si="40"/>
        <v>9600000</v>
      </c>
      <c r="AQ173" s="183">
        <f t="shared" si="41"/>
        <v>9600000</v>
      </c>
      <c r="AR173" s="182">
        <f t="shared" si="36"/>
        <v>0</v>
      </c>
      <c r="AS173" s="182">
        <f t="shared" si="37"/>
        <v>0</v>
      </c>
      <c r="AT173" s="182">
        <v>0</v>
      </c>
      <c r="AU173" s="182">
        <v>0</v>
      </c>
      <c r="AV173" s="199"/>
      <c r="AW173" s="285"/>
      <c r="AX173" s="285"/>
      <c r="AY173" s="266"/>
      <c r="AZ173" s="280"/>
      <c r="BA173" s="281" t="s">
        <v>1983</v>
      </c>
      <c r="BB173" s="282">
        <f>VLOOKUP(H173,[1]NVKD!$C$1:$M$3296,11,0)</f>
        <v>3</v>
      </c>
      <c r="BC173" s="281" t="s">
        <v>1982</v>
      </c>
      <c r="BD173" s="283" t="str">
        <f t="shared" si="38"/>
        <v>Showroom Bến Lức</v>
      </c>
      <c r="BF173" s="284">
        <f t="shared" si="39"/>
        <v>0</v>
      </c>
      <c r="BG173" s="284">
        <f>IFERROR(IF(Y173=0,0, IF(Y173 / VLOOKUP(M173,'[1]CSBH THƯỞNG XE'!$U$3:$AA$1100,7,FALSE) &lt; 0.5,0,MIN((Y173 / VLOOKUP(M173,'[1]CSBH THƯỞNG XE'!$U$3:$AA$1100,7,FALSE)) * 20%,20%))),0)</f>
        <v>0</v>
      </c>
      <c r="BI173" s="287"/>
    </row>
    <row r="174" spans="1:61" s="286" customFormat="1" ht="20.149999999999999" customHeight="1">
      <c r="A174" s="185">
        <v>46126</v>
      </c>
      <c r="B174" s="186">
        <f t="shared" si="32"/>
        <v>14</v>
      </c>
      <c r="C174" s="186">
        <f t="shared" si="33"/>
        <v>4</v>
      </c>
      <c r="D174" s="186">
        <f t="shared" si="34"/>
        <v>2026</v>
      </c>
      <c r="E174" s="185">
        <v>46140</v>
      </c>
      <c r="F174" s="187" t="s">
        <v>1248</v>
      </c>
      <c r="G174" s="188" t="s">
        <v>251</v>
      </c>
      <c r="H174" s="189" t="s">
        <v>158</v>
      </c>
      <c r="I174" s="189" t="s">
        <v>265</v>
      </c>
      <c r="J174" s="189" t="s">
        <v>1249</v>
      </c>
      <c r="K174" s="190"/>
      <c r="L174" s="190"/>
      <c r="M174" s="191" t="s">
        <v>56</v>
      </c>
      <c r="N174" s="191" t="s">
        <v>255</v>
      </c>
      <c r="O174" s="188" t="s">
        <v>105</v>
      </c>
      <c r="P174" s="192"/>
      <c r="Q174" s="180">
        <v>1</v>
      </c>
      <c r="R174" s="192" t="s">
        <v>736</v>
      </c>
      <c r="S174" s="193"/>
      <c r="T174" s="193"/>
      <c r="U174" s="193">
        <v>269181818</v>
      </c>
      <c r="V174" s="193"/>
      <c r="W174" s="194"/>
      <c r="X174" s="194"/>
      <c r="Y174" s="194"/>
      <c r="Z174" s="194"/>
      <c r="AA174" s="194">
        <v>0</v>
      </c>
      <c r="AB174" s="194">
        <f t="shared" si="42"/>
        <v>0</v>
      </c>
      <c r="AC174" s="195">
        <f t="shared" si="43"/>
        <v>0</v>
      </c>
      <c r="AD174" s="196">
        <f t="shared" si="31"/>
        <v>0</v>
      </c>
      <c r="AE174" s="195"/>
      <c r="AF174" s="195"/>
      <c r="AG174" s="195"/>
      <c r="AH174" s="193"/>
      <c r="AI174" s="197"/>
      <c r="AJ174" s="198"/>
      <c r="AK174" s="188" t="s">
        <v>250</v>
      </c>
      <c r="AL174" s="181">
        <f>IF(E174&gt;=DATE(2026,4,1),IF(OR($AK174="Khách hàng thông thường",$AK174="Khách hàng chuyển đổi xe xăng"),IFERROR(VLOOKUP($M174,'[1]CSBH THƯỞNG XE'!$U$3:$YY$800,3,0),0),IF($AK174="Khách hàng Khối Quân đội - Công An",IFERROR(VLOOKUP($M174,'[1]CSBH THƯỞNG XE'!$U$3:$X$600,4,0),0),IF($AK174="Khách hàng Giờ trái đất",IFERROR(VLOOKUP($M174,'[1]CSBH THƯỞNG XE'!$U$3:$Y$700,5,0),0),0))),0)</f>
        <v>8500000</v>
      </c>
      <c r="AM174" s="181"/>
      <c r="AN174" s="181"/>
      <c r="AO174" s="182">
        <f t="shared" si="35"/>
        <v>5100000</v>
      </c>
      <c r="AP174" s="182">
        <f t="shared" si="40"/>
        <v>5100000</v>
      </c>
      <c r="AQ174" s="183">
        <f t="shared" si="41"/>
        <v>5100000</v>
      </c>
      <c r="AR174" s="182">
        <f t="shared" si="36"/>
        <v>0</v>
      </c>
      <c r="AS174" s="182">
        <f t="shared" si="37"/>
        <v>0</v>
      </c>
      <c r="AT174" s="182">
        <v>0</v>
      </c>
      <c r="AU174" s="182">
        <v>0</v>
      </c>
      <c r="AV174" s="199"/>
      <c r="AW174" s="285"/>
      <c r="AX174" s="285"/>
      <c r="AY174" s="266"/>
      <c r="AZ174" s="280"/>
      <c r="BA174" s="281" t="s">
        <v>1981</v>
      </c>
      <c r="BB174" s="282">
        <f>VLOOKUP(H174,[1]NVKD!$C$1:$M$3296,11,0)</f>
        <v>4</v>
      </c>
      <c r="BC174" s="281" t="s">
        <v>1982</v>
      </c>
      <c r="BD174" s="283" t="str">
        <f t="shared" si="38"/>
        <v>Showroom Tân An</v>
      </c>
      <c r="BF174" s="284">
        <f t="shared" si="39"/>
        <v>0</v>
      </c>
      <c r="BG174" s="284">
        <f>IFERROR(IF(Y174=0,0, IF(Y174 / VLOOKUP(M174,'[1]CSBH THƯỞNG XE'!$U$3:$AA$1100,7,FALSE) &lt; 0.5,0,MIN((Y174 / VLOOKUP(M174,'[1]CSBH THƯỞNG XE'!$U$3:$AA$1100,7,FALSE)) * 20%,20%))),0)</f>
        <v>0</v>
      </c>
      <c r="BI174" s="287"/>
    </row>
    <row r="175" spans="1:61" s="286" customFormat="1" ht="20.149999999999999" customHeight="1">
      <c r="A175" s="185">
        <v>46139</v>
      </c>
      <c r="B175" s="186">
        <f t="shared" si="32"/>
        <v>27</v>
      </c>
      <c r="C175" s="186">
        <f t="shared" si="33"/>
        <v>4</v>
      </c>
      <c r="D175" s="186">
        <f t="shared" si="34"/>
        <v>2026</v>
      </c>
      <c r="E175" s="185">
        <v>46140</v>
      </c>
      <c r="F175" s="187" t="s">
        <v>1250</v>
      </c>
      <c r="G175" s="188" t="s">
        <v>263</v>
      </c>
      <c r="H175" s="189" t="s">
        <v>769</v>
      </c>
      <c r="I175" s="189" t="s">
        <v>273</v>
      </c>
      <c r="J175" s="189" t="s">
        <v>770</v>
      </c>
      <c r="K175" s="190"/>
      <c r="L175" s="190"/>
      <c r="M175" s="191" t="s">
        <v>55</v>
      </c>
      <c r="N175" s="191" t="s">
        <v>274</v>
      </c>
      <c r="O175" s="188" t="s">
        <v>134</v>
      </c>
      <c r="P175" s="192"/>
      <c r="Q175" s="180">
        <v>1</v>
      </c>
      <c r="R175" s="192" t="s">
        <v>772</v>
      </c>
      <c r="S175" s="193"/>
      <c r="T175" s="193"/>
      <c r="U175" s="193">
        <v>252618182</v>
      </c>
      <c r="V175" s="193"/>
      <c r="W175" s="194"/>
      <c r="X175" s="194"/>
      <c r="Y175" s="194"/>
      <c r="Z175" s="194"/>
      <c r="AA175" s="194">
        <v>6000000</v>
      </c>
      <c r="AB175" s="194">
        <f t="shared" si="42"/>
        <v>6000000</v>
      </c>
      <c r="AC175" s="195">
        <f t="shared" si="43"/>
        <v>6000000</v>
      </c>
      <c r="AD175" s="196">
        <f t="shared" si="31"/>
        <v>6000000</v>
      </c>
      <c r="AE175" s="195"/>
      <c r="AF175" s="195"/>
      <c r="AG175" s="195"/>
      <c r="AH175" s="193"/>
      <c r="AI175" s="197"/>
      <c r="AJ175" s="198"/>
      <c r="AK175" s="188" t="s">
        <v>250</v>
      </c>
      <c r="AL175" s="181">
        <f>IF(E175&gt;=DATE(2026,4,1),IF(OR($AK175="Khách hàng thông thường",$AK175="Khách hàng chuyển đổi xe xăng"),IFERROR(VLOOKUP($M175,'[1]CSBH THƯỞNG XE'!$U$3:$YY$800,3,0),0),IF($AK175="Khách hàng Khối Quân đội - Công An",IFERROR(VLOOKUP($M175,'[1]CSBH THƯỞNG XE'!$U$3:$X$600,4,0),0),IF($AK175="Khách hàng Giờ trái đất",IFERROR(VLOOKUP($M175,'[1]CSBH THƯỞNG XE'!$U$3:$Y$700,5,0),0),0))),0)</f>
        <v>8000000</v>
      </c>
      <c r="AM175" s="181"/>
      <c r="AN175" s="181"/>
      <c r="AO175" s="182">
        <f t="shared" si="35"/>
        <v>1200000</v>
      </c>
      <c r="AP175" s="182">
        <f t="shared" si="40"/>
        <v>1200000</v>
      </c>
      <c r="AQ175" s="183">
        <f t="shared" si="41"/>
        <v>1200000</v>
      </c>
      <c r="AR175" s="182">
        <f t="shared" si="36"/>
        <v>0</v>
      </c>
      <c r="AS175" s="182">
        <f t="shared" si="37"/>
        <v>0</v>
      </c>
      <c r="AT175" s="182">
        <v>0</v>
      </c>
      <c r="AU175" s="182">
        <v>0</v>
      </c>
      <c r="AV175" s="199"/>
      <c r="AW175" s="285"/>
      <c r="AX175" s="285"/>
      <c r="AY175" s="266"/>
      <c r="AZ175" s="280">
        <v>0</v>
      </c>
      <c r="BA175" s="281" t="s">
        <v>1981</v>
      </c>
      <c r="BB175" s="282">
        <f>VLOOKUP(H175,[1]NVKD!$C$1:$M$3296,11,0)</f>
        <v>2</v>
      </c>
      <c r="BC175" s="281" t="s">
        <v>1982</v>
      </c>
      <c r="BD175" s="283" t="str">
        <f t="shared" si="38"/>
        <v>Showroom Quang Trung</v>
      </c>
      <c r="BF175" s="284">
        <f t="shared" si="39"/>
        <v>0</v>
      </c>
      <c r="BG175" s="284">
        <f>IFERROR(IF(Y175=0,0, IF(Y175 / VLOOKUP(M175,'[1]CSBH THƯỞNG XE'!$U$3:$AA$1100,7,FALSE) &lt; 0.5,0,MIN((Y175 / VLOOKUP(M175,'[1]CSBH THƯỞNG XE'!$U$3:$AA$1100,7,FALSE)) * 20%,20%))),0)</f>
        <v>0</v>
      </c>
      <c r="BI175" s="287"/>
    </row>
    <row r="176" spans="1:61" s="286" customFormat="1" ht="20.149999999999999" customHeight="1">
      <c r="A176" s="185">
        <v>46133</v>
      </c>
      <c r="B176" s="186">
        <f t="shared" si="32"/>
        <v>21</v>
      </c>
      <c r="C176" s="186">
        <f t="shared" si="33"/>
        <v>4</v>
      </c>
      <c r="D176" s="186">
        <f t="shared" si="34"/>
        <v>2026</v>
      </c>
      <c r="E176" s="185">
        <v>46140</v>
      </c>
      <c r="F176" s="187" t="s">
        <v>1251</v>
      </c>
      <c r="G176" s="188" t="s">
        <v>246</v>
      </c>
      <c r="H176" s="189" t="s">
        <v>133</v>
      </c>
      <c r="I176" s="189" t="s">
        <v>286</v>
      </c>
      <c r="J176" s="189" t="s">
        <v>896</v>
      </c>
      <c r="K176" s="190"/>
      <c r="L176" s="190"/>
      <c r="M176" s="191" t="s">
        <v>114</v>
      </c>
      <c r="N176" s="191" t="s">
        <v>248</v>
      </c>
      <c r="O176" s="188" t="s">
        <v>52</v>
      </c>
      <c r="P176" s="192"/>
      <c r="Q176" s="180">
        <v>1</v>
      </c>
      <c r="R176" s="192" t="s">
        <v>898</v>
      </c>
      <c r="S176" s="193"/>
      <c r="T176" s="193"/>
      <c r="U176" s="193">
        <v>629145455</v>
      </c>
      <c r="V176" s="193"/>
      <c r="W176" s="194"/>
      <c r="X176" s="194"/>
      <c r="Y176" s="194"/>
      <c r="Z176" s="194"/>
      <c r="AA176" s="194">
        <v>12000000</v>
      </c>
      <c r="AB176" s="194">
        <f t="shared" si="42"/>
        <v>12000000</v>
      </c>
      <c r="AC176" s="195">
        <f t="shared" si="43"/>
        <v>12000000</v>
      </c>
      <c r="AD176" s="196">
        <f t="shared" si="31"/>
        <v>12000000</v>
      </c>
      <c r="AE176" s="195"/>
      <c r="AF176" s="195"/>
      <c r="AG176" s="195"/>
      <c r="AH176" s="193"/>
      <c r="AI176" s="197"/>
      <c r="AJ176" s="198"/>
      <c r="AK176" s="188" t="s">
        <v>250</v>
      </c>
      <c r="AL176" s="181">
        <f>IF(E176&gt;=DATE(2026,4,1),IF(OR($AK176="Khách hàng thông thường",$AK176="Khách hàng chuyển đổi xe xăng"),IFERROR(VLOOKUP($M176,'[1]CSBH THƯỞNG XE'!$U$3:$YY$800,3,0),0),IF($AK176="Khách hàng Khối Quân đội - Công An",IFERROR(VLOOKUP($M176,'[1]CSBH THƯỞNG XE'!$U$3:$X$600,4,0),0),IF($AK176="Khách hàng Giờ trái đất",IFERROR(VLOOKUP($M176,'[1]CSBH THƯỞNG XE'!$U$3:$Y$700,5,0),0),0))),0)</f>
        <v>19000000</v>
      </c>
      <c r="AM176" s="181"/>
      <c r="AN176" s="181"/>
      <c r="AO176" s="182">
        <f t="shared" si="35"/>
        <v>5600000</v>
      </c>
      <c r="AP176" s="182">
        <f t="shared" si="40"/>
        <v>5600000</v>
      </c>
      <c r="AQ176" s="183">
        <f t="shared" si="41"/>
        <v>10600000</v>
      </c>
      <c r="AR176" s="182">
        <f t="shared" si="36"/>
        <v>0</v>
      </c>
      <c r="AS176" s="182">
        <f t="shared" si="37"/>
        <v>5000000</v>
      </c>
      <c r="AT176" s="182">
        <v>0</v>
      </c>
      <c r="AU176" s="182">
        <v>0</v>
      </c>
      <c r="AV176" s="199"/>
      <c r="AW176" s="285"/>
      <c r="AX176" s="285"/>
      <c r="AY176" s="266"/>
      <c r="AZ176" s="280"/>
      <c r="BA176" s="281" t="s">
        <v>1983</v>
      </c>
      <c r="BB176" s="282">
        <f>VLOOKUP(H176,[1]NVKD!$C$1:$M$3296,11,0)</f>
        <v>3</v>
      </c>
      <c r="BC176" s="281" t="s">
        <v>1984</v>
      </c>
      <c r="BD176" s="283" t="str">
        <f t="shared" si="38"/>
        <v>Showroom Bến Lức</v>
      </c>
      <c r="BF176" s="284">
        <f t="shared" si="39"/>
        <v>0.2</v>
      </c>
      <c r="BG176" s="284">
        <f>IFERROR(IF(Y176=0,0, IF(Y176 / VLOOKUP(M176,'[1]CSBH THƯỞNG XE'!$U$3:$AA$1100,7,FALSE) &lt; 0.5,0,MIN((Y176 / VLOOKUP(M176,'[1]CSBH THƯỞNG XE'!$U$3:$AA$1100,7,FALSE)) * 20%,20%))),0)</f>
        <v>0</v>
      </c>
      <c r="BI176" s="287"/>
    </row>
    <row r="177" spans="1:61" s="286" customFormat="1" ht="20.149999999999999" customHeight="1">
      <c r="A177" s="185">
        <v>46123</v>
      </c>
      <c r="B177" s="186">
        <f t="shared" si="32"/>
        <v>11</v>
      </c>
      <c r="C177" s="186">
        <f t="shared" si="33"/>
        <v>4</v>
      </c>
      <c r="D177" s="186">
        <f t="shared" si="34"/>
        <v>2026</v>
      </c>
      <c r="E177" s="185">
        <v>46140</v>
      </c>
      <c r="F177" s="187" t="s">
        <v>1252</v>
      </c>
      <c r="G177" s="188" t="s">
        <v>263</v>
      </c>
      <c r="H177" s="189" t="s">
        <v>1253</v>
      </c>
      <c r="I177" s="189" t="s">
        <v>273</v>
      </c>
      <c r="J177" s="189" t="s">
        <v>774</v>
      </c>
      <c r="K177" s="190"/>
      <c r="L177" s="190"/>
      <c r="M177" s="191" t="s">
        <v>257</v>
      </c>
      <c r="N177" s="191" t="s">
        <v>266</v>
      </c>
      <c r="O177" s="188" t="s">
        <v>168</v>
      </c>
      <c r="P177" s="192"/>
      <c r="Q177" s="180">
        <v>1</v>
      </c>
      <c r="R177" s="192" t="s">
        <v>776</v>
      </c>
      <c r="S177" s="193"/>
      <c r="T177" s="193"/>
      <c r="U177" s="193">
        <v>675738273</v>
      </c>
      <c r="V177" s="193"/>
      <c r="W177" s="194"/>
      <c r="X177" s="194"/>
      <c r="Y177" s="194"/>
      <c r="Z177" s="194"/>
      <c r="AA177" s="194">
        <v>15000000</v>
      </c>
      <c r="AB177" s="194">
        <f t="shared" si="42"/>
        <v>15000000</v>
      </c>
      <c r="AC177" s="195">
        <f t="shared" si="43"/>
        <v>15000000</v>
      </c>
      <c r="AD177" s="196">
        <f t="shared" si="31"/>
        <v>15000000</v>
      </c>
      <c r="AE177" s="195"/>
      <c r="AF177" s="195"/>
      <c r="AG177" s="195"/>
      <c r="AH177" s="193"/>
      <c r="AI177" s="197"/>
      <c r="AJ177" s="198"/>
      <c r="AK177" s="188" t="s">
        <v>250</v>
      </c>
      <c r="AL177" s="181">
        <f>IF(E177&gt;=DATE(2026,4,1),IF(OR($AK177="Khách hàng thông thường",$AK177="Khách hàng chuyển đổi xe xăng"),IFERROR(VLOOKUP($M177,'[1]CSBH THƯỞNG XE'!$U$3:$YY$800,3,0),0),IF($AK177="Khách hàng Khối Quân đội - Công An",IFERROR(VLOOKUP($M177,'[1]CSBH THƯỞNG XE'!$U$3:$X$600,4,0),0),IF($AK177="Khách hàng Giờ trái đất",IFERROR(VLOOKUP($M177,'[1]CSBH THƯỞNG XE'!$U$3:$Y$700,5,0),0),0))),0)</f>
        <v>20000000</v>
      </c>
      <c r="AM177" s="181"/>
      <c r="AN177" s="181"/>
      <c r="AO177" s="182">
        <f t="shared" si="35"/>
        <v>4000000</v>
      </c>
      <c r="AP177" s="182">
        <f t="shared" si="40"/>
        <v>4000000</v>
      </c>
      <c r="AQ177" s="183">
        <f t="shared" si="41"/>
        <v>4000000</v>
      </c>
      <c r="AR177" s="182">
        <f t="shared" si="36"/>
        <v>0</v>
      </c>
      <c r="AS177" s="182">
        <f t="shared" si="37"/>
        <v>0</v>
      </c>
      <c r="AT177" s="182">
        <v>0</v>
      </c>
      <c r="AU177" s="182">
        <v>0</v>
      </c>
      <c r="AV177" s="199"/>
      <c r="AW177" s="285"/>
      <c r="AX177" s="285"/>
      <c r="AY177" s="266"/>
      <c r="AZ177" s="280"/>
      <c r="BA177" s="281" t="s">
        <v>1981</v>
      </c>
      <c r="BB177" s="282">
        <f>VLOOKUP(H177,[1]NVKD!$C$1:$M$3296,11,0)</f>
        <v>1</v>
      </c>
      <c r="BC177" s="281" t="s">
        <v>1984</v>
      </c>
      <c r="BD177" s="283" t="str">
        <f t="shared" si="38"/>
        <v>Showroom Quang Trung</v>
      </c>
      <c r="BF177" s="284">
        <f t="shared" si="39"/>
        <v>0.2</v>
      </c>
      <c r="BG177" s="284">
        <f>IFERROR(IF(Y177=0,0, IF(Y177 / VLOOKUP(M177,'[1]CSBH THƯỞNG XE'!$U$3:$AA$1100,7,FALSE) &lt; 0.5,0,MIN((Y177 / VLOOKUP(M177,'[1]CSBH THƯỞNG XE'!$U$3:$AA$1100,7,FALSE)) * 20%,20%))),0)</f>
        <v>0</v>
      </c>
      <c r="BI177" s="287"/>
    </row>
    <row r="178" spans="1:61" s="286" customFormat="1" ht="20.149999999999999" customHeight="1">
      <c r="A178" s="185">
        <v>46125</v>
      </c>
      <c r="B178" s="186">
        <f t="shared" si="32"/>
        <v>13</v>
      </c>
      <c r="C178" s="186">
        <f t="shared" si="33"/>
        <v>4</v>
      </c>
      <c r="D178" s="186">
        <f t="shared" si="34"/>
        <v>2026</v>
      </c>
      <c r="E178" s="185">
        <v>46140</v>
      </c>
      <c r="F178" s="187" t="s">
        <v>1254</v>
      </c>
      <c r="G178" s="188" t="s">
        <v>246</v>
      </c>
      <c r="H178" s="189" t="s">
        <v>135</v>
      </c>
      <c r="I178" s="189" t="s">
        <v>286</v>
      </c>
      <c r="J178" s="189" t="s">
        <v>903</v>
      </c>
      <c r="K178" s="190"/>
      <c r="L178" s="190"/>
      <c r="M178" s="191" t="s">
        <v>56</v>
      </c>
      <c r="N178" s="191" t="s">
        <v>275</v>
      </c>
      <c r="O178" s="188" t="s">
        <v>105</v>
      </c>
      <c r="P178" s="192"/>
      <c r="Q178" s="180">
        <v>1</v>
      </c>
      <c r="R178" s="192" t="s">
        <v>905</v>
      </c>
      <c r="S178" s="193"/>
      <c r="T178" s="193"/>
      <c r="U178" s="193">
        <v>269181818</v>
      </c>
      <c r="V178" s="193"/>
      <c r="W178" s="194"/>
      <c r="X178" s="194"/>
      <c r="Y178" s="194"/>
      <c r="Z178" s="194"/>
      <c r="AA178" s="194">
        <v>0</v>
      </c>
      <c r="AB178" s="194">
        <f t="shared" si="42"/>
        <v>0</v>
      </c>
      <c r="AC178" s="195">
        <f t="shared" si="43"/>
        <v>0</v>
      </c>
      <c r="AD178" s="196">
        <f t="shared" si="31"/>
        <v>0</v>
      </c>
      <c r="AE178" s="195"/>
      <c r="AF178" s="195"/>
      <c r="AG178" s="195"/>
      <c r="AH178" s="193"/>
      <c r="AI178" s="197"/>
      <c r="AJ178" s="198"/>
      <c r="AK178" s="188" t="s">
        <v>250</v>
      </c>
      <c r="AL178" s="181">
        <f>IF(E178&gt;=DATE(2026,4,1),IF(OR($AK178="Khách hàng thông thường",$AK178="Khách hàng chuyển đổi xe xăng"),IFERROR(VLOOKUP($M178,'[1]CSBH THƯỞNG XE'!$U$3:$YY$800,3,0),0),IF($AK178="Khách hàng Khối Quân đội - Công An",IFERROR(VLOOKUP($M178,'[1]CSBH THƯỞNG XE'!$U$3:$X$600,4,0),0),IF($AK178="Khách hàng Giờ trái đất",IFERROR(VLOOKUP($M178,'[1]CSBH THƯỞNG XE'!$U$3:$Y$700,5,0),0),0))),0)</f>
        <v>8500000</v>
      </c>
      <c r="AM178" s="181"/>
      <c r="AN178" s="181"/>
      <c r="AO178" s="182">
        <f t="shared" si="35"/>
        <v>5100000</v>
      </c>
      <c r="AP178" s="182">
        <f t="shared" si="40"/>
        <v>5100000</v>
      </c>
      <c r="AQ178" s="183">
        <f t="shared" si="41"/>
        <v>5100000</v>
      </c>
      <c r="AR178" s="182">
        <f t="shared" si="36"/>
        <v>0</v>
      </c>
      <c r="AS178" s="182">
        <f t="shared" si="37"/>
        <v>0</v>
      </c>
      <c r="AT178" s="182">
        <v>0</v>
      </c>
      <c r="AU178" s="182">
        <v>0</v>
      </c>
      <c r="AV178" s="199"/>
      <c r="AW178" s="285"/>
      <c r="AX178" s="285"/>
      <c r="AY178" s="266"/>
      <c r="AZ178" s="280"/>
      <c r="BA178" s="281" t="s">
        <v>1981</v>
      </c>
      <c r="BB178" s="282">
        <f>VLOOKUP(H178,[1]NVKD!$C$1:$M$3296,11,0)</f>
        <v>6</v>
      </c>
      <c r="BC178" s="281" t="s">
        <v>1982</v>
      </c>
      <c r="BD178" s="283" t="str">
        <f t="shared" si="38"/>
        <v>Showroom Bến Lức</v>
      </c>
      <c r="BF178" s="284">
        <f t="shared" si="39"/>
        <v>0</v>
      </c>
      <c r="BG178" s="284">
        <f>IFERROR(IF(Y178=0,0, IF(Y178 / VLOOKUP(M178,'[1]CSBH THƯỞNG XE'!$U$3:$AA$1100,7,FALSE) &lt; 0.5,0,MIN((Y178 / VLOOKUP(M178,'[1]CSBH THƯỞNG XE'!$U$3:$AA$1100,7,FALSE)) * 20%,20%))),0)</f>
        <v>0</v>
      </c>
      <c r="BI178" s="287"/>
    </row>
    <row r="179" spans="1:61" s="286" customFormat="1" ht="20.149999999999999" customHeight="1">
      <c r="A179" s="185">
        <v>46133</v>
      </c>
      <c r="B179" s="186">
        <f t="shared" si="32"/>
        <v>21</v>
      </c>
      <c r="C179" s="186">
        <f t="shared" si="33"/>
        <v>4</v>
      </c>
      <c r="D179" s="186">
        <f t="shared" si="34"/>
        <v>2026</v>
      </c>
      <c r="E179" s="185">
        <v>46140</v>
      </c>
      <c r="F179" s="187" t="s">
        <v>1255</v>
      </c>
      <c r="G179" s="188" t="s">
        <v>254</v>
      </c>
      <c r="H179" s="189" t="s">
        <v>166</v>
      </c>
      <c r="I179" s="189"/>
      <c r="J179" s="189" t="s">
        <v>739</v>
      </c>
      <c r="K179" s="190"/>
      <c r="L179" s="190"/>
      <c r="M179" s="191" t="s">
        <v>125</v>
      </c>
      <c r="N179" s="191" t="s">
        <v>174</v>
      </c>
      <c r="O179" s="188" t="s">
        <v>741</v>
      </c>
      <c r="P179" s="192"/>
      <c r="Q179" s="180">
        <v>1</v>
      </c>
      <c r="R179" s="192" t="s">
        <v>742</v>
      </c>
      <c r="S179" s="193"/>
      <c r="T179" s="193"/>
      <c r="U179" s="193">
        <v>277272727</v>
      </c>
      <c r="V179" s="193"/>
      <c r="W179" s="194"/>
      <c r="X179" s="194"/>
      <c r="Y179" s="194"/>
      <c r="Z179" s="194"/>
      <c r="AA179" s="194">
        <v>0</v>
      </c>
      <c r="AB179" s="194">
        <f t="shared" si="42"/>
        <v>0</v>
      </c>
      <c r="AC179" s="195">
        <f t="shared" si="43"/>
        <v>0</v>
      </c>
      <c r="AD179" s="196">
        <f t="shared" si="31"/>
        <v>0</v>
      </c>
      <c r="AE179" s="195"/>
      <c r="AF179" s="195"/>
      <c r="AG179" s="195"/>
      <c r="AH179" s="193"/>
      <c r="AI179" s="197"/>
      <c r="AJ179" s="198"/>
      <c r="AK179" s="188" t="s">
        <v>250</v>
      </c>
      <c r="AL179" s="181">
        <f>IF(E179&gt;=DATE(2026,4,1),IF(OR($AK179="Khách hàng thông thường",$AK179="Khách hàng chuyển đổi xe xăng"),IFERROR(VLOOKUP($M179,'[1]CSBH THƯỞNG XE'!$U$3:$YY$800,3,0),0),IF($AK179="Khách hàng Khối Quân đội - Công An",IFERROR(VLOOKUP($M179,'[1]CSBH THƯỞNG XE'!$U$3:$X$600,4,0),0),IF($AK179="Khách hàng Giờ trái đất",IFERROR(VLOOKUP($M179,'[1]CSBH THƯỞNG XE'!$U$3:$Y$700,5,0),0),0))),0)</f>
        <v>7500000</v>
      </c>
      <c r="AM179" s="181"/>
      <c r="AN179" s="181"/>
      <c r="AO179" s="182">
        <f t="shared" si="35"/>
        <v>4500000</v>
      </c>
      <c r="AP179" s="182">
        <f t="shared" si="40"/>
        <v>4500000</v>
      </c>
      <c r="AQ179" s="183">
        <f t="shared" si="41"/>
        <v>4500000</v>
      </c>
      <c r="AR179" s="182">
        <f t="shared" si="36"/>
        <v>0</v>
      </c>
      <c r="AS179" s="182">
        <f t="shared" si="37"/>
        <v>0</v>
      </c>
      <c r="AT179" s="182">
        <v>0</v>
      </c>
      <c r="AU179" s="182">
        <v>0</v>
      </c>
      <c r="AV179" s="199"/>
      <c r="AW179" s="285"/>
      <c r="AX179" s="285"/>
      <c r="AY179" s="266"/>
      <c r="AZ179" s="280"/>
      <c r="BA179" s="281">
        <v>0</v>
      </c>
      <c r="BB179" s="282">
        <f>VLOOKUP(H179,[1]NVKD!$C$1:$M$3296,11,0)</f>
        <v>1</v>
      </c>
      <c r="BC179" s="281" t="s">
        <v>1982</v>
      </c>
      <c r="BD179" s="283" t="str">
        <f t="shared" si="38"/>
        <v>Showroom Sala</v>
      </c>
      <c r="BF179" s="284">
        <f t="shared" si="39"/>
        <v>0</v>
      </c>
      <c r="BG179" s="284">
        <f>IFERROR(IF(Y179=0,0, IF(Y179 / VLOOKUP(M179,'[1]CSBH THƯỞNG XE'!$U$3:$AA$1100,7,FALSE) &lt; 0.5,0,MIN((Y179 / VLOOKUP(M179,'[1]CSBH THƯỞNG XE'!$U$3:$AA$1100,7,FALSE)) * 20%,20%))),0)</f>
        <v>0</v>
      </c>
      <c r="BI179" s="287"/>
    </row>
    <row r="180" spans="1:61" s="286" customFormat="1" ht="20.149999999999999" customHeight="1">
      <c r="A180" s="185">
        <v>46133</v>
      </c>
      <c r="B180" s="186">
        <f t="shared" si="32"/>
        <v>21</v>
      </c>
      <c r="C180" s="186">
        <f t="shared" si="33"/>
        <v>4</v>
      </c>
      <c r="D180" s="186">
        <f t="shared" si="34"/>
        <v>2026</v>
      </c>
      <c r="E180" s="185">
        <v>46140</v>
      </c>
      <c r="F180" s="187" t="s">
        <v>1256</v>
      </c>
      <c r="G180" s="188" t="s">
        <v>258</v>
      </c>
      <c r="H180" s="189" t="s">
        <v>142</v>
      </c>
      <c r="I180" s="189" t="s">
        <v>270</v>
      </c>
      <c r="J180" s="189" t="s">
        <v>1257</v>
      </c>
      <c r="K180" s="190"/>
      <c r="L180" s="190"/>
      <c r="M180" s="191" t="s">
        <v>114</v>
      </c>
      <c r="N180" s="191" t="s">
        <v>268</v>
      </c>
      <c r="O180" s="188" t="s">
        <v>114</v>
      </c>
      <c r="P180" s="192"/>
      <c r="Q180" s="180">
        <v>1</v>
      </c>
      <c r="R180" s="192" t="s">
        <v>838</v>
      </c>
      <c r="S180" s="193"/>
      <c r="T180" s="193"/>
      <c r="U180" s="193">
        <v>608718182</v>
      </c>
      <c r="V180" s="193"/>
      <c r="W180" s="194">
        <v>9374260</v>
      </c>
      <c r="X180" s="194"/>
      <c r="Y180" s="194"/>
      <c r="Z180" s="194"/>
      <c r="AA180" s="194">
        <v>12000000</v>
      </c>
      <c r="AB180" s="194">
        <f t="shared" si="42"/>
        <v>12000000</v>
      </c>
      <c r="AC180" s="195">
        <f t="shared" si="43"/>
        <v>12000000</v>
      </c>
      <c r="AD180" s="196">
        <f t="shared" si="31"/>
        <v>12000000</v>
      </c>
      <c r="AE180" s="195"/>
      <c r="AF180" s="195"/>
      <c r="AG180" s="195"/>
      <c r="AH180" s="193"/>
      <c r="AI180" s="197"/>
      <c r="AJ180" s="198"/>
      <c r="AK180" s="188" t="s">
        <v>250</v>
      </c>
      <c r="AL180" s="181">
        <f>IF(E180&gt;=DATE(2026,4,1),IF(OR($AK180="Khách hàng thông thường",$AK180="Khách hàng chuyển đổi xe xăng"),IFERROR(VLOOKUP($M180,'[1]CSBH THƯỞNG XE'!$U$3:$YY$800,3,0),0),IF($AK180="Khách hàng Khối Quân đội - Công An",IFERROR(VLOOKUP($M180,'[1]CSBH THƯỞNG XE'!$U$3:$X$600,4,0),0),IF($AK180="Khách hàng Giờ trái đất",IFERROR(VLOOKUP($M180,'[1]CSBH THƯỞNG XE'!$U$3:$Y$700,5,0),0),0))),0)</f>
        <v>19000000</v>
      </c>
      <c r="AM180" s="181"/>
      <c r="AN180" s="181"/>
      <c r="AO180" s="182">
        <f t="shared" si="35"/>
        <v>5600000</v>
      </c>
      <c r="AP180" s="182">
        <f t="shared" si="40"/>
        <v>5600000</v>
      </c>
      <c r="AQ180" s="183">
        <f t="shared" si="41"/>
        <v>10600000</v>
      </c>
      <c r="AR180" s="182">
        <f t="shared" si="36"/>
        <v>0</v>
      </c>
      <c r="AS180" s="182">
        <f t="shared" si="37"/>
        <v>5000000</v>
      </c>
      <c r="AT180" s="182">
        <v>0</v>
      </c>
      <c r="AU180" s="182">
        <v>9374260</v>
      </c>
      <c r="AV180" s="199"/>
      <c r="AW180" s="285"/>
      <c r="AX180" s="285"/>
      <c r="AY180" s="266"/>
      <c r="AZ180" s="280"/>
      <c r="BA180" s="281" t="s">
        <v>1983</v>
      </c>
      <c r="BB180" s="282">
        <f>VLOOKUP(H180,[1]NVKD!$C$1:$M$3296,11,0)</f>
        <v>2</v>
      </c>
      <c r="BC180" s="281" t="s">
        <v>1982</v>
      </c>
      <c r="BD180" s="283" t="str">
        <f t="shared" si="38"/>
        <v>Showroom 50 Nguyễn Văn Tăng</v>
      </c>
      <c r="BF180" s="284">
        <f t="shared" si="39"/>
        <v>0.2</v>
      </c>
      <c r="BG180" s="284">
        <f>IFERROR(IF(Y180=0,0, IF(Y180 / VLOOKUP(M180,'[1]CSBH THƯỞNG XE'!$U$3:$AA$1100,7,FALSE) &lt; 0.5,0,MIN((Y180 / VLOOKUP(M180,'[1]CSBH THƯỞNG XE'!$U$3:$AA$1100,7,FALSE)) * 20%,20%))),0)</f>
        <v>0</v>
      </c>
      <c r="BI180" s="287"/>
    </row>
    <row r="181" spans="1:61" s="286" customFormat="1" ht="20.149999999999999" customHeight="1">
      <c r="A181" s="185">
        <v>46136</v>
      </c>
      <c r="B181" s="186">
        <f t="shared" si="32"/>
        <v>24</v>
      </c>
      <c r="C181" s="186">
        <f t="shared" si="33"/>
        <v>4</v>
      </c>
      <c r="D181" s="186">
        <f t="shared" si="34"/>
        <v>2026</v>
      </c>
      <c r="E181" s="185">
        <v>46140</v>
      </c>
      <c r="F181" s="187" t="s">
        <v>1258</v>
      </c>
      <c r="G181" s="188" t="s">
        <v>246</v>
      </c>
      <c r="H181" s="189" t="s">
        <v>175</v>
      </c>
      <c r="I181" s="189" t="s">
        <v>247</v>
      </c>
      <c r="J181" s="189" t="s">
        <v>906</v>
      </c>
      <c r="K181" s="190"/>
      <c r="L181" s="190"/>
      <c r="M181" s="191" t="s">
        <v>55</v>
      </c>
      <c r="N181" s="191" t="s">
        <v>275</v>
      </c>
      <c r="O181" s="188" t="s">
        <v>134</v>
      </c>
      <c r="P181" s="192"/>
      <c r="Q181" s="180">
        <v>1</v>
      </c>
      <c r="R181" s="192" t="s">
        <v>908</v>
      </c>
      <c r="S181" s="193"/>
      <c r="T181" s="193"/>
      <c r="U181" s="193">
        <v>249836364</v>
      </c>
      <c r="V181" s="193"/>
      <c r="W181" s="194"/>
      <c r="X181" s="194"/>
      <c r="Y181" s="194"/>
      <c r="Z181" s="194"/>
      <c r="AA181" s="194">
        <v>0</v>
      </c>
      <c r="AB181" s="194">
        <f t="shared" si="42"/>
        <v>0</v>
      </c>
      <c r="AC181" s="195">
        <f t="shared" si="43"/>
        <v>0</v>
      </c>
      <c r="AD181" s="196">
        <f t="shared" si="31"/>
        <v>0</v>
      </c>
      <c r="AE181" s="195"/>
      <c r="AF181" s="195"/>
      <c r="AG181" s="195"/>
      <c r="AH181" s="193"/>
      <c r="AI181" s="197"/>
      <c r="AJ181" s="198"/>
      <c r="AK181" s="188" t="s">
        <v>250</v>
      </c>
      <c r="AL181" s="181">
        <f>IF(E181&gt;=DATE(2026,4,1),IF(OR($AK181="Khách hàng thông thường",$AK181="Khách hàng chuyển đổi xe xăng"),IFERROR(VLOOKUP($M181,'[1]CSBH THƯỞNG XE'!$U$3:$YY$800,3,0),0),IF($AK181="Khách hàng Khối Quân đội - Công An",IFERROR(VLOOKUP($M181,'[1]CSBH THƯỞNG XE'!$U$3:$X$600,4,0),0),IF($AK181="Khách hàng Giờ trái đất",IFERROR(VLOOKUP($M181,'[1]CSBH THƯỞNG XE'!$U$3:$Y$700,5,0),0),0))),0)</f>
        <v>8000000</v>
      </c>
      <c r="AM181" s="181"/>
      <c r="AN181" s="181"/>
      <c r="AO181" s="182">
        <f t="shared" si="35"/>
        <v>4800000</v>
      </c>
      <c r="AP181" s="182">
        <f t="shared" si="40"/>
        <v>4800000</v>
      </c>
      <c r="AQ181" s="183">
        <f t="shared" si="41"/>
        <v>4800000</v>
      </c>
      <c r="AR181" s="182">
        <f t="shared" si="36"/>
        <v>0</v>
      </c>
      <c r="AS181" s="182">
        <f t="shared" si="37"/>
        <v>0</v>
      </c>
      <c r="AT181" s="182">
        <v>0</v>
      </c>
      <c r="AU181" s="182">
        <v>0</v>
      </c>
      <c r="AV181" s="199"/>
      <c r="AW181" s="285"/>
      <c r="AX181" s="285"/>
      <c r="AY181" s="266"/>
      <c r="AZ181" s="280">
        <v>0</v>
      </c>
      <c r="BA181" s="281" t="s">
        <v>1981</v>
      </c>
      <c r="BB181" s="282">
        <f>VLOOKUP(H181,[1]NVKD!$C$1:$M$3296,11,0)</f>
        <v>3</v>
      </c>
      <c r="BC181" s="281" t="s">
        <v>1982</v>
      </c>
      <c r="BD181" s="283" t="str">
        <f t="shared" si="38"/>
        <v>Showroom Bến Lức</v>
      </c>
      <c r="BF181" s="284">
        <f t="shared" si="39"/>
        <v>0</v>
      </c>
      <c r="BG181" s="284">
        <f>IFERROR(IF(Y181=0,0, IF(Y181 / VLOOKUP(M181,'[1]CSBH THƯỞNG XE'!$U$3:$AA$1100,7,FALSE) &lt; 0.5,0,MIN((Y181 / VLOOKUP(M181,'[1]CSBH THƯỞNG XE'!$U$3:$AA$1100,7,FALSE)) * 20%,20%))),0)</f>
        <v>0</v>
      </c>
      <c r="BI181" s="287"/>
    </row>
    <row r="182" spans="1:61" s="286" customFormat="1" ht="20.149999999999999" customHeight="1">
      <c r="A182" s="185">
        <v>46137</v>
      </c>
      <c r="B182" s="186">
        <f t="shared" si="32"/>
        <v>25</v>
      </c>
      <c r="C182" s="186">
        <f t="shared" si="33"/>
        <v>4</v>
      </c>
      <c r="D182" s="186">
        <f t="shared" si="34"/>
        <v>2026</v>
      </c>
      <c r="E182" s="185">
        <v>46140</v>
      </c>
      <c r="F182" s="187" t="s">
        <v>1259</v>
      </c>
      <c r="G182" s="188" t="s">
        <v>258</v>
      </c>
      <c r="H182" s="189" t="s">
        <v>187</v>
      </c>
      <c r="I182" s="189" t="s">
        <v>261</v>
      </c>
      <c r="J182" s="189" t="s">
        <v>1260</v>
      </c>
      <c r="K182" s="190"/>
      <c r="L182" s="190"/>
      <c r="M182" s="191" t="s">
        <v>114</v>
      </c>
      <c r="N182" s="191" t="s">
        <v>272</v>
      </c>
      <c r="O182" s="188" t="s">
        <v>114</v>
      </c>
      <c r="P182" s="192"/>
      <c r="Q182" s="180">
        <v>1</v>
      </c>
      <c r="R182" s="192" t="s">
        <v>835</v>
      </c>
      <c r="S182" s="193"/>
      <c r="T182" s="193"/>
      <c r="U182" s="193">
        <v>640054545</v>
      </c>
      <c r="V182" s="193"/>
      <c r="W182" s="194"/>
      <c r="X182" s="194"/>
      <c r="Y182" s="194"/>
      <c r="Z182" s="194"/>
      <c r="AA182" s="194">
        <v>0</v>
      </c>
      <c r="AB182" s="194">
        <f t="shared" si="42"/>
        <v>0</v>
      </c>
      <c r="AC182" s="195">
        <f t="shared" si="43"/>
        <v>0</v>
      </c>
      <c r="AD182" s="196">
        <f t="shared" si="31"/>
        <v>0</v>
      </c>
      <c r="AE182" s="195"/>
      <c r="AF182" s="195"/>
      <c r="AG182" s="195"/>
      <c r="AH182" s="193"/>
      <c r="AI182" s="197"/>
      <c r="AJ182" s="198"/>
      <c r="AK182" s="188" t="s">
        <v>250</v>
      </c>
      <c r="AL182" s="181">
        <f>IF(E182&gt;=DATE(2026,4,1),IF(OR($AK182="Khách hàng thông thường",$AK182="Khách hàng chuyển đổi xe xăng"),IFERROR(VLOOKUP($M182,'[1]CSBH THƯỞNG XE'!$U$3:$YY$800,3,0),0),IF($AK182="Khách hàng Khối Quân đội - Công An",IFERROR(VLOOKUP($M182,'[1]CSBH THƯỞNG XE'!$U$3:$X$600,4,0),0),IF($AK182="Khách hàng Giờ trái đất",IFERROR(VLOOKUP($M182,'[1]CSBH THƯỞNG XE'!$U$3:$Y$700,5,0),0),0))),0)</f>
        <v>19000000</v>
      </c>
      <c r="AM182" s="181"/>
      <c r="AN182" s="181"/>
      <c r="AO182" s="182">
        <f t="shared" si="35"/>
        <v>11400000</v>
      </c>
      <c r="AP182" s="182">
        <f t="shared" si="40"/>
        <v>11400000</v>
      </c>
      <c r="AQ182" s="183">
        <f t="shared" si="41"/>
        <v>16400000</v>
      </c>
      <c r="AR182" s="182">
        <f t="shared" si="36"/>
        <v>0</v>
      </c>
      <c r="AS182" s="182">
        <f t="shared" si="37"/>
        <v>5000000</v>
      </c>
      <c r="AT182" s="182">
        <v>0</v>
      </c>
      <c r="AU182" s="182">
        <v>0</v>
      </c>
      <c r="AV182" s="199"/>
      <c r="AW182" s="285"/>
      <c r="AX182" s="285"/>
      <c r="AY182" s="266"/>
      <c r="AZ182" s="280">
        <v>0</v>
      </c>
      <c r="BA182" s="281" t="s">
        <v>1983</v>
      </c>
      <c r="BB182" s="282">
        <f>VLOOKUP(H182,[1]NVKD!$C$1:$M$3296,11,0)</f>
        <v>8</v>
      </c>
      <c r="BC182" s="281" t="s">
        <v>1982</v>
      </c>
      <c r="BD182" s="283" t="str">
        <f t="shared" si="38"/>
        <v>Showroom 50 Nguyễn Văn Tăng</v>
      </c>
      <c r="BF182" s="284">
        <f t="shared" si="39"/>
        <v>0</v>
      </c>
      <c r="BG182" s="284">
        <f>IFERROR(IF(Y182=0,0, IF(Y182 / VLOOKUP(M182,'[1]CSBH THƯỞNG XE'!$U$3:$AA$1100,7,FALSE) &lt; 0.5,0,MIN((Y182 / VLOOKUP(M182,'[1]CSBH THƯỞNG XE'!$U$3:$AA$1100,7,FALSE)) * 20%,20%))),0)</f>
        <v>0</v>
      </c>
      <c r="BI182" s="287"/>
    </row>
    <row r="183" spans="1:61" s="286" customFormat="1" ht="20.149999999999999" customHeight="1">
      <c r="A183" s="185">
        <v>46135</v>
      </c>
      <c r="B183" s="186">
        <f t="shared" si="32"/>
        <v>23</v>
      </c>
      <c r="C183" s="186">
        <f t="shared" si="33"/>
        <v>4</v>
      </c>
      <c r="D183" s="186">
        <f t="shared" si="34"/>
        <v>2026</v>
      </c>
      <c r="E183" s="185">
        <v>46140</v>
      </c>
      <c r="F183" s="187" t="s">
        <v>1261</v>
      </c>
      <c r="G183" s="188" t="s">
        <v>258</v>
      </c>
      <c r="H183" s="189" t="s">
        <v>145</v>
      </c>
      <c r="I183" s="189" t="s">
        <v>261</v>
      </c>
      <c r="J183" s="189" t="s">
        <v>1262</v>
      </c>
      <c r="K183" s="190"/>
      <c r="L183" s="190"/>
      <c r="M183" s="191" t="s">
        <v>114</v>
      </c>
      <c r="N183" s="191" t="s">
        <v>255</v>
      </c>
      <c r="O183" s="188" t="s">
        <v>114</v>
      </c>
      <c r="P183" s="192"/>
      <c r="Q183" s="180">
        <v>1</v>
      </c>
      <c r="R183" s="192" t="s">
        <v>842</v>
      </c>
      <c r="S183" s="193"/>
      <c r="T183" s="193"/>
      <c r="U183" s="193">
        <v>630963636</v>
      </c>
      <c r="V183" s="193"/>
      <c r="W183" s="194"/>
      <c r="X183" s="194"/>
      <c r="Y183" s="194"/>
      <c r="Z183" s="194"/>
      <c r="AA183" s="194">
        <v>10000000</v>
      </c>
      <c r="AB183" s="194">
        <f t="shared" si="42"/>
        <v>10000000</v>
      </c>
      <c r="AC183" s="195">
        <f t="shared" si="43"/>
        <v>10000000</v>
      </c>
      <c r="AD183" s="196">
        <f t="shared" si="31"/>
        <v>10000000</v>
      </c>
      <c r="AE183" s="195"/>
      <c r="AF183" s="195"/>
      <c r="AG183" s="195"/>
      <c r="AH183" s="193"/>
      <c r="AI183" s="197"/>
      <c r="AJ183" s="198"/>
      <c r="AK183" s="188" t="s">
        <v>250</v>
      </c>
      <c r="AL183" s="181">
        <f>IF(E183&gt;=DATE(2026,4,1),IF(OR($AK183="Khách hàng thông thường",$AK183="Khách hàng chuyển đổi xe xăng"),IFERROR(VLOOKUP($M183,'[1]CSBH THƯỞNG XE'!$U$3:$YY$800,3,0),0),IF($AK183="Khách hàng Khối Quân đội - Công An",IFERROR(VLOOKUP($M183,'[1]CSBH THƯỞNG XE'!$U$3:$X$600,4,0),0),IF($AK183="Khách hàng Giờ trái đất",IFERROR(VLOOKUP($M183,'[1]CSBH THƯỞNG XE'!$U$3:$Y$700,5,0),0),0))),0)</f>
        <v>19000000</v>
      </c>
      <c r="AM183" s="181"/>
      <c r="AN183" s="181"/>
      <c r="AO183" s="182">
        <f t="shared" si="35"/>
        <v>7200000</v>
      </c>
      <c r="AP183" s="182">
        <f t="shared" si="40"/>
        <v>7200000</v>
      </c>
      <c r="AQ183" s="183">
        <f t="shared" si="41"/>
        <v>7200000</v>
      </c>
      <c r="AR183" s="182">
        <f t="shared" si="36"/>
        <v>0</v>
      </c>
      <c r="AS183" s="182">
        <f t="shared" si="37"/>
        <v>0</v>
      </c>
      <c r="AT183" s="182">
        <v>0</v>
      </c>
      <c r="AU183" s="182">
        <v>0</v>
      </c>
      <c r="AV183" s="199"/>
      <c r="AW183" s="285"/>
      <c r="AX183" s="285"/>
      <c r="AY183" s="266"/>
      <c r="AZ183" s="280"/>
      <c r="BA183" s="281" t="s">
        <v>1983</v>
      </c>
      <c r="BB183" s="282">
        <f>VLOOKUP(H183,[1]NVKD!$C$1:$M$3296,11,0)</f>
        <v>3</v>
      </c>
      <c r="BC183" s="281" t="s">
        <v>1984</v>
      </c>
      <c r="BD183" s="283" t="str">
        <f t="shared" si="38"/>
        <v>Showroom 50 Nguyễn Văn Tăng</v>
      </c>
      <c r="BF183" s="284">
        <f t="shared" si="39"/>
        <v>0.2</v>
      </c>
      <c r="BG183" s="284">
        <f>IFERROR(IF(Y183=0,0, IF(Y183 / VLOOKUP(M183,'[1]CSBH THƯỞNG XE'!$U$3:$AA$1100,7,FALSE) &lt; 0.5,0,MIN((Y183 / VLOOKUP(M183,'[1]CSBH THƯỞNG XE'!$U$3:$AA$1100,7,FALSE)) * 20%,20%))),0)</f>
        <v>0</v>
      </c>
      <c r="BI183" s="287"/>
    </row>
    <row r="184" spans="1:61" s="286" customFormat="1" ht="20.149999999999999" customHeight="1">
      <c r="A184" s="185">
        <v>46134</v>
      </c>
      <c r="B184" s="186">
        <f t="shared" si="32"/>
        <v>22</v>
      </c>
      <c r="C184" s="186">
        <f t="shared" si="33"/>
        <v>4</v>
      </c>
      <c r="D184" s="186">
        <f t="shared" si="34"/>
        <v>2026</v>
      </c>
      <c r="E184" s="185">
        <v>46141</v>
      </c>
      <c r="F184" s="187" t="s">
        <v>1263</v>
      </c>
      <c r="G184" s="188" t="s">
        <v>246</v>
      </c>
      <c r="H184" s="189" t="s">
        <v>899</v>
      </c>
      <c r="I184" s="189" t="s">
        <v>286</v>
      </c>
      <c r="J184" s="189" t="s">
        <v>914</v>
      </c>
      <c r="K184" s="190"/>
      <c r="L184" s="190"/>
      <c r="M184" s="191" t="s">
        <v>276</v>
      </c>
      <c r="N184" s="191" t="s">
        <v>266</v>
      </c>
      <c r="O184" s="188" t="s">
        <v>105</v>
      </c>
      <c r="P184" s="192"/>
      <c r="Q184" s="180">
        <v>1</v>
      </c>
      <c r="R184" s="192" t="s">
        <v>916</v>
      </c>
      <c r="S184" s="193"/>
      <c r="T184" s="193"/>
      <c r="U184" s="193">
        <v>636636364</v>
      </c>
      <c r="V184" s="193"/>
      <c r="W184" s="194"/>
      <c r="X184" s="194"/>
      <c r="Y184" s="194">
        <v>3829889</v>
      </c>
      <c r="Z184" s="194"/>
      <c r="AA184" s="194">
        <v>0</v>
      </c>
      <c r="AB184" s="194">
        <f t="shared" si="42"/>
        <v>0</v>
      </c>
      <c r="AC184" s="195">
        <f t="shared" si="43"/>
        <v>0</v>
      </c>
      <c r="AD184" s="196">
        <f t="shared" si="31"/>
        <v>0</v>
      </c>
      <c r="AE184" s="195"/>
      <c r="AF184" s="195"/>
      <c r="AG184" s="195"/>
      <c r="AH184" s="193"/>
      <c r="AI184" s="197"/>
      <c r="AJ184" s="198"/>
      <c r="AK184" s="188" t="s">
        <v>250</v>
      </c>
      <c r="AL184" s="181">
        <f>IF(E184&gt;=DATE(2026,4,1),IF(OR($AK184="Khách hàng thông thường",$AK184="Khách hàng chuyển đổi xe xăng"),IFERROR(VLOOKUP($M184,'[1]CSBH THƯỞNG XE'!$U$3:$YY$800,3,0),0),IF($AK184="Khách hàng Khối Quân đội - Công An",IFERROR(VLOOKUP($M184,'[1]CSBH THƯỞNG XE'!$U$3:$X$600,4,0),0),IF($AK184="Khách hàng Giờ trái đất",IFERROR(VLOOKUP($M184,'[1]CSBH THƯỞNG XE'!$U$3:$Y$700,5,0),0),0))),0)</f>
        <v>20000000</v>
      </c>
      <c r="AM184" s="181"/>
      <c r="AN184" s="181"/>
      <c r="AO184" s="182">
        <f t="shared" si="35"/>
        <v>16000000</v>
      </c>
      <c r="AP184" s="182">
        <f t="shared" si="40"/>
        <v>16000000</v>
      </c>
      <c r="AQ184" s="183">
        <f>AP184+AR184+AS184</f>
        <v>16000000</v>
      </c>
      <c r="AR184" s="182">
        <f t="shared" si="36"/>
        <v>0</v>
      </c>
      <c r="AS184" s="182">
        <f t="shared" si="37"/>
        <v>0</v>
      </c>
      <c r="AT184" s="182">
        <v>0</v>
      </c>
      <c r="AU184" s="182">
        <v>0</v>
      </c>
      <c r="AV184" s="194">
        <v>3829889</v>
      </c>
      <c r="AW184" s="285"/>
      <c r="AX184" s="285"/>
      <c r="AY184" s="266"/>
      <c r="AZ184" s="280"/>
      <c r="BA184" s="281" t="s">
        <v>1983</v>
      </c>
      <c r="BB184" s="282">
        <f>VLOOKUP(H184,[1]NVKD!$C$1:$M$3296,11,0)</f>
        <v>2</v>
      </c>
      <c r="BC184" s="281" t="s">
        <v>1982</v>
      </c>
      <c r="BD184" s="283" t="str">
        <f t="shared" si="38"/>
        <v>Showroom Bến Lức</v>
      </c>
      <c r="BF184" s="284">
        <f t="shared" si="39"/>
        <v>0</v>
      </c>
      <c r="BG184" s="284">
        <f>IFERROR(IF(Y184=0,0, IF(Y184 / VLOOKUP(M184,'[1]CSBH THƯỞNG XE'!$U$3:$AA$1100,7,FALSE) &lt; 0.5,0,MIN((Y184 / VLOOKUP(M184,'[1]CSBH THƯỞNG XE'!$U$3:$AA$1100,7,FALSE)) * 20%,20%))),0)</f>
        <v>0.2</v>
      </c>
      <c r="BI184" s="287"/>
    </row>
    <row r="185" spans="1:61" s="286" customFormat="1" ht="20.149999999999999" customHeight="1">
      <c r="A185" s="185">
        <v>46140</v>
      </c>
      <c r="B185" s="186">
        <f t="shared" si="32"/>
        <v>28</v>
      </c>
      <c r="C185" s="186">
        <f t="shared" si="33"/>
        <v>4</v>
      </c>
      <c r="D185" s="186">
        <f t="shared" si="34"/>
        <v>2026</v>
      </c>
      <c r="E185" s="185">
        <v>46141</v>
      </c>
      <c r="F185" s="187" t="s">
        <v>1264</v>
      </c>
      <c r="G185" s="188" t="s">
        <v>258</v>
      </c>
      <c r="H185" s="189" t="s">
        <v>185</v>
      </c>
      <c r="I185" s="189" t="s">
        <v>261</v>
      </c>
      <c r="J185" s="189" t="s">
        <v>1265</v>
      </c>
      <c r="K185" s="190"/>
      <c r="L185" s="190"/>
      <c r="M185" s="191" t="s">
        <v>56</v>
      </c>
      <c r="N185" s="191" t="s">
        <v>269</v>
      </c>
      <c r="O185" s="188" t="s">
        <v>140</v>
      </c>
      <c r="P185" s="192"/>
      <c r="Q185" s="180">
        <v>1</v>
      </c>
      <c r="R185" s="192" t="s">
        <v>935</v>
      </c>
      <c r="S185" s="193"/>
      <c r="T185" s="193"/>
      <c r="U185" s="193">
        <v>252527273</v>
      </c>
      <c r="V185" s="193"/>
      <c r="W185" s="194"/>
      <c r="X185" s="194"/>
      <c r="Y185" s="194"/>
      <c r="Z185" s="194"/>
      <c r="AA185" s="194">
        <v>0</v>
      </c>
      <c r="AB185" s="194">
        <f t="shared" si="42"/>
        <v>0</v>
      </c>
      <c r="AC185" s="195">
        <f t="shared" si="43"/>
        <v>0</v>
      </c>
      <c r="AD185" s="196">
        <f t="shared" si="31"/>
        <v>0</v>
      </c>
      <c r="AE185" s="195"/>
      <c r="AF185" s="195"/>
      <c r="AG185" s="195"/>
      <c r="AH185" s="193"/>
      <c r="AI185" s="197"/>
      <c r="AJ185" s="198"/>
      <c r="AK185" s="42" t="s">
        <v>271</v>
      </c>
      <c r="AL185" s="181">
        <f>IF(E185&gt;=DATE(2026,4,1),IF(OR($AK185="Khách hàng thông thường",$AK185="Khách hàng chuyển đổi xe xăng"),IFERROR(VLOOKUP($M185,'[1]CSBH THƯỞNG XE'!$U$3:$YY$800,3,0),0),IF($AK185="Khách hàng Khối Quân đội - Công An",IFERROR(VLOOKUP($M185,'[1]CSBH THƯỞNG XE'!$U$3:$X$600,4,0),0),IF($AK185="Khách hàng Giờ trái đất",IFERROR(VLOOKUP($M185,'[1]CSBH THƯỞNG XE'!$U$3:$Y$700,5,0),0),0))),0)</f>
        <v>4250000</v>
      </c>
      <c r="AM185" s="181"/>
      <c r="AN185" s="181"/>
      <c r="AO185" s="182">
        <f t="shared" si="35"/>
        <v>3400000</v>
      </c>
      <c r="AP185" s="200">
        <f>AO185*20%</f>
        <v>680000</v>
      </c>
      <c r="AQ185" s="183">
        <f t="shared" si="41"/>
        <v>680000</v>
      </c>
      <c r="AR185" s="182">
        <f t="shared" si="36"/>
        <v>0</v>
      </c>
      <c r="AS185" s="182">
        <f t="shared" si="37"/>
        <v>0</v>
      </c>
      <c r="AT185" s="182">
        <v>0</v>
      </c>
      <c r="AU185" s="182">
        <v>0</v>
      </c>
      <c r="AV185" s="199"/>
      <c r="AW185" s="285"/>
      <c r="AX185" s="285"/>
      <c r="AY185" s="266"/>
      <c r="AZ185" s="280">
        <v>0</v>
      </c>
      <c r="BA185" s="281" t="s">
        <v>1981</v>
      </c>
      <c r="BB185" s="282">
        <f>VLOOKUP(H185,[1]NVKD!$C$1:$M$3296,11,0)</f>
        <v>1</v>
      </c>
      <c r="BC185" s="281" t="s">
        <v>1984</v>
      </c>
      <c r="BD185" s="283" t="str">
        <f t="shared" si="38"/>
        <v>Showroom 50 Nguyễn Văn Tăng</v>
      </c>
      <c r="BF185" s="284">
        <f t="shared" si="39"/>
        <v>0.2</v>
      </c>
      <c r="BG185" s="284">
        <f>IFERROR(IF(Y185=0,0, IF(Y185 / VLOOKUP(M185,'[1]CSBH THƯỞNG XE'!$U$3:$AA$1100,7,FALSE) &lt; 0.5,0,MIN((Y185 / VLOOKUP(M185,'[1]CSBH THƯỞNG XE'!$U$3:$AA$1100,7,FALSE)) * 20%,20%))),0)</f>
        <v>0</v>
      </c>
      <c r="BI185" s="287"/>
    </row>
    <row r="186" spans="1:61" s="286" customFormat="1" ht="20.149999999999999" customHeight="1">
      <c r="A186" s="185">
        <v>46140</v>
      </c>
      <c r="B186" s="186">
        <f t="shared" si="32"/>
        <v>28</v>
      </c>
      <c r="C186" s="186">
        <f t="shared" si="33"/>
        <v>4</v>
      </c>
      <c r="D186" s="186">
        <f t="shared" si="34"/>
        <v>2026</v>
      </c>
      <c r="E186" s="185">
        <v>46141</v>
      </c>
      <c r="F186" s="187" t="s">
        <v>1266</v>
      </c>
      <c r="G186" s="188" t="s">
        <v>258</v>
      </c>
      <c r="H186" s="189" t="s">
        <v>190</v>
      </c>
      <c r="I186" s="189" t="s">
        <v>270</v>
      </c>
      <c r="J186" s="189" t="s">
        <v>1267</v>
      </c>
      <c r="K186" s="190"/>
      <c r="L186" s="190"/>
      <c r="M186" s="191" t="s">
        <v>55</v>
      </c>
      <c r="N186" s="191" t="s">
        <v>287</v>
      </c>
      <c r="O186" s="188" t="s">
        <v>191</v>
      </c>
      <c r="P186" s="192"/>
      <c r="Q186" s="180">
        <v>1</v>
      </c>
      <c r="R186" s="192" t="s">
        <v>932</v>
      </c>
      <c r="S186" s="193"/>
      <c r="T186" s="193"/>
      <c r="U186" s="193">
        <v>240090909</v>
      </c>
      <c r="V186" s="193"/>
      <c r="W186" s="194"/>
      <c r="X186" s="194"/>
      <c r="Y186" s="194"/>
      <c r="Z186" s="194"/>
      <c r="AA186" s="194">
        <v>0</v>
      </c>
      <c r="AB186" s="194">
        <f t="shared" si="42"/>
        <v>0</v>
      </c>
      <c r="AC186" s="195">
        <f t="shared" si="43"/>
        <v>0</v>
      </c>
      <c r="AD186" s="196">
        <f t="shared" si="31"/>
        <v>0</v>
      </c>
      <c r="AE186" s="195"/>
      <c r="AF186" s="195"/>
      <c r="AG186" s="195"/>
      <c r="AH186" s="193"/>
      <c r="AI186" s="197"/>
      <c r="AJ186" s="198"/>
      <c r="AK186" s="188" t="s">
        <v>250</v>
      </c>
      <c r="AL186" s="181">
        <f>IF(E186&gt;=DATE(2026,4,1),IF(OR($AK186="Khách hàng thông thường",$AK186="Khách hàng chuyển đổi xe xăng"),IFERROR(VLOOKUP($M186,'[1]CSBH THƯỞNG XE'!$U$3:$YY$800,3,0),0),IF($AK186="Khách hàng Khối Quân đội - Công An",IFERROR(VLOOKUP($M186,'[1]CSBH THƯỞNG XE'!$U$3:$X$600,4,0),0),IF($AK186="Khách hàng Giờ trái đất",IFERROR(VLOOKUP($M186,'[1]CSBH THƯỞNG XE'!$U$3:$Y$700,5,0),0),0))),0)</f>
        <v>8000000</v>
      </c>
      <c r="AM186" s="181"/>
      <c r="AN186" s="181"/>
      <c r="AO186" s="182">
        <f t="shared" si="35"/>
        <v>6400000</v>
      </c>
      <c r="AP186" s="182">
        <f t="shared" si="40"/>
        <v>6400000</v>
      </c>
      <c r="AQ186" s="183">
        <f t="shared" si="41"/>
        <v>6400000</v>
      </c>
      <c r="AR186" s="182">
        <f t="shared" si="36"/>
        <v>0</v>
      </c>
      <c r="AS186" s="182">
        <f t="shared" si="37"/>
        <v>0</v>
      </c>
      <c r="AT186" s="182">
        <v>0</v>
      </c>
      <c r="AU186" s="182">
        <v>0</v>
      </c>
      <c r="AV186" s="199"/>
      <c r="AW186" s="285"/>
      <c r="AX186" s="285"/>
      <c r="AY186" s="266"/>
      <c r="AZ186" s="280">
        <v>0</v>
      </c>
      <c r="BA186" s="281" t="s">
        <v>1981</v>
      </c>
      <c r="BB186" s="282">
        <f>VLOOKUP(H186,[1]NVKD!$C$1:$M$3296,11,0)</f>
        <v>4</v>
      </c>
      <c r="BC186" s="281" t="s">
        <v>1984</v>
      </c>
      <c r="BD186" s="283" t="str">
        <f t="shared" si="38"/>
        <v>Showroom 50 Nguyễn Văn Tăng</v>
      </c>
      <c r="BF186" s="284">
        <f t="shared" si="39"/>
        <v>0.2</v>
      </c>
      <c r="BG186" s="284">
        <f>IFERROR(IF(Y186=0,0, IF(Y186 / VLOOKUP(M186,'[1]CSBH THƯỞNG XE'!$U$3:$AA$1100,7,FALSE) &lt; 0.5,0,MIN((Y186 / VLOOKUP(M186,'[1]CSBH THƯỞNG XE'!$U$3:$AA$1100,7,FALSE)) * 20%,20%))),0)</f>
        <v>0</v>
      </c>
      <c r="BI186" s="287"/>
    </row>
    <row r="187" spans="1:61" s="286" customFormat="1" ht="20.149999999999999" customHeight="1">
      <c r="A187" s="185">
        <v>46138</v>
      </c>
      <c r="B187" s="186">
        <f t="shared" si="32"/>
        <v>26</v>
      </c>
      <c r="C187" s="186">
        <f t="shared" si="33"/>
        <v>4</v>
      </c>
      <c r="D187" s="186">
        <f t="shared" si="34"/>
        <v>2026</v>
      </c>
      <c r="E187" s="185">
        <v>46141</v>
      </c>
      <c r="F187" s="187" t="s">
        <v>1268</v>
      </c>
      <c r="G187" s="188" t="s">
        <v>263</v>
      </c>
      <c r="H187" s="189" t="s">
        <v>769</v>
      </c>
      <c r="I187" s="189" t="s">
        <v>273</v>
      </c>
      <c r="J187" s="189" t="s">
        <v>966</v>
      </c>
      <c r="K187" s="190"/>
      <c r="L187" s="190"/>
      <c r="M187" s="191" t="s">
        <v>114</v>
      </c>
      <c r="N187" s="191" t="s">
        <v>266</v>
      </c>
      <c r="O187" s="188" t="s">
        <v>148</v>
      </c>
      <c r="P187" s="192"/>
      <c r="Q187" s="180">
        <v>1</v>
      </c>
      <c r="R187" s="192" t="s">
        <v>968</v>
      </c>
      <c r="S187" s="193"/>
      <c r="T187" s="193"/>
      <c r="U187" s="193">
        <v>629145455</v>
      </c>
      <c r="V187" s="193"/>
      <c r="W187" s="194"/>
      <c r="X187" s="194"/>
      <c r="Y187" s="194"/>
      <c r="Z187" s="194"/>
      <c r="AA187" s="194">
        <v>12000000</v>
      </c>
      <c r="AB187" s="194">
        <f t="shared" si="42"/>
        <v>12000000</v>
      </c>
      <c r="AC187" s="195">
        <f t="shared" si="43"/>
        <v>12000000</v>
      </c>
      <c r="AD187" s="196">
        <f t="shared" si="31"/>
        <v>12000000</v>
      </c>
      <c r="AE187" s="195"/>
      <c r="AF187" s="195"/>
      <c r="AG187" s="195"/>
      <c r="AH187" s="193"/>
      <c r="AI187" s="197"/>
      <c r="AJ187" s="198"/>
      <c r="AK187" s="188" t="s">
        <v>250</v>
      </c>
      <c r="AL187" s="181">
        <f>IF(E187&gt;=DATE(2026,4,1),IF(OR($AK187="Khách hàng thông thường",$AK187="Khách hàng chuyển đổi xe xăng"),IFERROR(VLOOKUP($M187,'[1]CSBH THƯỞNG XE'!$U$3:$YY$800,3,0),0),IF($AK187="Khách hàng Khối Quân đội - Công An",IFERROR(VLOOKUP($M187,'[1]CSBH THƯỞNG XE'!$U$3:$X$600,4,0),0),IF($AK187="Khách hàng Giờ trái đất",IFERROR(VLOOKUP($M187,'[1]CSBH THƯỞNG XE'!$U$3:$Y$700,5,0),0),0))),0)</f>
        <v>19000000</v>
      </c>
      <c r="AM187" s="181"/>
      <c r="AN187" s="181"/>
      <c r="AO187" s="182">
        <f t="shared" si="35"/>
        <v>5600000</v>
      </c>
      <c r="AP187" s="182">
        <f t="shared" si="40"/>
        <v>5600000</v>
      </c>
      <c r="AQ187" s="183">
        <f t="shared" si="41"/>
        <v>10600000</v>
      </c>
      <c r="AR187" s="182">
        <f t="shared" si="36"/>
        <v>0</v>
      </c>
      <c r="AS187" s="182">
        <f t="shared" si="37"/>
        <v>5000000</v>
      </c>
      <c r="AT187" s="182">
        <v>3500000</v>
      </c>
      <c r="AU187" s="182">
        <v>0</v>
      </c>
      <c r="AV187" s="199"/>
      <c r="AW187" s="285"/>
      <c r="AX187" s="285"/>
      <c r="AY187" s="266"/>
      <c r="AZ187" s="280">
        <v>0</v>
      </c>
      <c r="BA187" s="281" t="s">
        <v>1983</v>
      </c>
      <c r="BB187" s="282">
        <f>VLOOKUP(H187,[1]NVKD!$C$1:$M$3296,11,0)</f>
        <v>2</v>
      </c>
      <c r="BC187" s="281" t="s">
        <v>1984</v>
      </c>
      <c r="BD187" s="283" t="str">
        <f t="shared" si="38"/>
        <v>Showroom Quang Trung</v>
      </c>
      <c r="BF187" s="284">
        <f t="shared" si="39"/>
        <v>0.2</v>
      </c>
      <c r="BG187" s="284">
        <f>IFERROR(IF(Y187=0,0, IF(Y187 / VLOOKUP(M187,'[1]CSBH THƯỞNG XE'!$U$3:$AA$1100,7,FALSE) &lt; 0.5,0,MIN((Y187 / VLOOKUP(M187,'[1]CSBH THƯỞNG XE'!$U$3:$AA$1100,7,FALSE)) * 20%,20%))),0)</f>
        <v>0</v>
      </c>
      <c r="BI187" s="287"/>
    </row>
    <row r="188" spans="1:61" s="286" customFormat="1" ht="20.149999999999999" customHeight="1">
      <c r="A188" s="185">
        <v>46140</v>
      </c>
      <c r="B188" s="186">
        <f t="shared" si="32"/>
        <v>28</v>
      </c>
      <c r="C188" s="186">
        <f t="shared" si="33"/>
        <v>4</v>
      </c>
      <c r="D188" s="186">
        <f t="shared" si="34"/>
        <v>2026</v>
      </c>
      <c r="E188" s="185">
        <v>46141</v>
      </c>
      <c r="F188" s="187" t="s">
        <v>1269</v>
      </c>
      <c r="G188" s="188" t="s">
        <v>258</v>
      </c>
      <c r="H188" s="189" t="s">
        <v>187</v>
      </c>
      <c r="I188" s="189" t="s">
        <v>261</v>
      </c>
      <c r="J188" s="189" t="s">
        <v>1270</v>
      </c>
      <c r="K188" s="190"/>
      <c r="L188" s="190"/>
      <c r="M188" s="191" t="s">
        <v>114</v>
      </c>
      <c r="N188" s="191" t="s">
        <v>272</v>
      </c>
      <c r="O188" s="188" t="s">
        <v>114</v>
      </c>
      <c r="P188" s="192"/>
      <c r="Q188" s="180">
        <v>1</v>
      </c>
      <c r="R188" s="192" t="s">
        <v>938</v>
      </c>
      <c r="S188" s="193"/>
      <c r="T188" s="193"/>
      <c r="U188" s="193">
        <v>640054545</v>
      </c>
      <c r="V188" s="193"/>
      <c r="W188" s="194"/>
      <c r="X188" s="194"/>
      <c r="Y188" s="194"/>
      <c r="Z188" s="194"/>
      <c r="AA188" s="194">
        <v>0</v>
      </c>
      <c r="AB188" s="194">
        <f t="shared" si="42"/>
        <v>0</v>
      </c>
      <c r="AC188" s="195">
        <f t="shared" si="43"/>
        <v>0</v>
      </c>
      <c r="AD188" s="196">
        <f t="shared" si="31"/>
        <v>0</v>
      </c>
      <c r="AE188" s="195"/>
      <c r="AF188" s="195"/>
      <c r="AG188" s="195"/>
      <c r="AH188" s="193"/>
      <c r="AI188" s="197"/>
      <c r="AJ188" s="198"/>
      <c r="AK188" s="188" t="s">
        <v>250</v>
      </c>
      <c r="AL188" s="181">
        <f>IF(E188&gt;=DATE(2026,4,1),IF(OR($AK188="Khách hàng thông thường",$AK188="Khách hàng chuyển đổi xe xăng"),IFERROR(VLOOKUP($M188,'[1]CSBH THƯỞNG XE'!$U$3:$YY$800,3,0),0),IF($AK188="Khách hàng Khối Quân đội - Công An",IFERROR(VLOOKUP($M188,'[1]CSBH THƯỞNG XE'!$U$3:$X$600,4,0),0),IF($AK188="Khách hàng Giờ trái đất",IFERROR(VLOOKUP($M188,'[1]CSBH THƯỞNG XE'!$U$3:$Y$700,5,0),0),0))),0)</f>
        <v>19000000</v>
      </c>
      <c r="AM188" s="181"/>
      <c r="AN188" s="181"/>
      <c r="AO188" s="182">
        <f t="shared" si="35"/>
        <v>11400000</v>
      </c>
      <c r="AP188" s="182">
        <f t="shared" si="40"/>
        <v>11400000</v>
      </c>
      <c r="AQ188" s="183">
        <f t="shared" si="41"/>
        <v>16400000</v>
      </c>
      <c r="AR188" s="182">
        <f t="shared" si="36"/>
        <v>0</v>
      </c>
      <c r="AS188" s="182">
        <f t="shared" si="37"/>
        <v>5000000</v>
      </c>
      <c r="AT188" s="182">
        <v>0</v>
      </c>
      <c r="AU188" s="182">
        <v>0</v>
      </c>
      <c r="AV188" s="199"/>
      <c r="AW188" s="285"/>
      <c r="AX188" s="285"/>
      <c r="AY188" s="266"/>
      <c r="AZ188" s="280">
        <v>0</v>
      </c>
      <c r="BA188" s="281" t="s">
        <v>1983</v>
      </c>
      <c r="BB188" s="282">
        <f>VLOOKUP(H188,[1]NVKD!$C$1:$M$3296,11,0)</f>
        <v>8</v>
      </c>
      <c r="BC188" s="281" t="s">
        <v>1982</v>
      </c>
      <c r="BD188" s="283" t="str">
        <f t="shared" si="38"/>
        <v>Showroom 50 Nguyễn Văn Tăng</v>
      </c>
      <c r="BF188" s="284">
        <f t="shared" si="39"/>
        <v>0</v>
      </c>
      <c r="BG188" s="284">
        <f>IFERROR(IF(Y188=0,0, IF(Y188 / VLOOKUP(M188,'[1]CSBH THƯỞNG XE'!$U$3:$AA$1100,7,FALSE) &lt; 0.5,0,MIN((Y188 / VLOOKUP(M188,'[1]CSBH THƯỞNG XE'!$U$3:$AA$1100,7,FALSE)) * 20%,20%))),0)</f>
        <v>0</v>
      </c>
      <c r="BI188" s="287"/>
    </row>
    <row r="189" spans="1:61" s="286" customFormat="1" ht="20.149999999999999" customHeight="1">
      <c r="A189" s="185">
        <v>46134</v>
      </c>
      <c r="B189" s="186">
        <f t="shared" si="32"/>
        <v>22</v>
      </c>
      <c r="C189" s="186">
        <f t="shared" si="33"/>
        <v>4</v>
      </c>
      <c r="D189" s="186">
        <f t="shared" si="34"/>
        <v>2026</v>
      </c>
      <c r="E189" s="185">
        <v>46141</v>
      </c>
      <c r="F189" s="187" t="s">
        <v>1271</v>
      </c>
      <c r="G189" s="188" t="s">
        <v>251</v>
      </c>
      <c r="H189" s="189" t="s">
        <v>179</v>
      </c>
      <c r="I189" s="189" t="s">
        <v>265</v>
      </c>
      <c r="J189" s="189" t="s">
        <v>843</v>
      </c>
      <c r="K189" s="190"/>
      <c r="L189" s="190"/>
      <c r="M189" s="191" t="s">
        <v>55</v>
      </c>
      <c r="N189" s="191" t="s">
        <v>274</v>
      </c>
      <c r="O189" s="188" t="s">
        <v>162</v>
      </c>
      <c r="P189" s="192"/>
      <c r="Q189" s="180">
        <v>1</v>
      </c>
      <c r="R189" s="192" t="s">
        <v>845</v>
      </c>
      <c r="S189" s="193"/>
      <c r="T189" s="193"/>
      <c r="U189" s="193">
        <v>258072727</v>
      </c>
      <c r="V189" s="193"/>
      <c r="W189" s="194"/>
      <c r="X189" s="194"/>
      <c r="Y189" s="194"/>
      <c r="Z189" s="194"/>
      <c r="AA189" s="194">
        <v>0</v>
      </c>
      <c r="AB189" s="194">
        <f t="shared" si="42"/>
        <v>0</v>
      </c>
      <c r="AC189" s="195">
        <f t="shared" si="43"/>
        <v>0</v>
      </c>
      <c r="AD189" s="196">
        <f t="shared" si="31"/>
        <v>0</v>
      </c>
      <c r="AE189" s="195"/>
      <c r="AF189" s="195"/>
      <c r="AG189" s="195"/>
      <c r="AH189" s="193"/>
      <c r="AI189" s="197"/>
      <c r="AJ189" s="198"/>
      <c r="AK189" s="188" t="s">
        <v>250</v>
      </c>
      <c r="AL189" s="181">
        <f>IF(E189&gt;=DATE(2026,4,1),IF(OR($AK189="Khách hàng thông thường",$AK189="Khách hàng chuyển đổi xe xăng"),IFERROR(VLOOKUP($M189,'[1]CSBH THƯỞNG XE'!$U$3:$YY$800,3,0),0),IF($AK189="Khách hàng Khối Quân đội - Công An",IFERROR(VLOOKUP($M189,'[1]CSBH THƯỞNG XE'!$U$3:$X$600,4,0),0),IF($AK189="Khách hàng Giờ trái đất",IFERROR(VLOOKUP($M189,'[1]CSBH THƯỞNG XE'!$U$3:$Y$700,5,0),0),0))),0)</f>
        <v>8000000</v>
      </c>
      <c r="AM189" s="181"/>
      <c r="AN189" s="181"/>
      <c r="AO189" s="182">
        <f t="shared" si="35"/>
        <v>4800000</v>
      </c>
      <c r="AP189" s="182">
        <f t="shared" si="40"/>
        <v>4800000</v>
      </c>
      <c r="AQ189" s="183">
        <f t="shared" si="41"/>
        <v>4800000</v>
      </c>
      <c r="AR189" s="182">
        <f t="shared" si="36"/>
        <v>0</v>
      </c>
      <c r="AS189" s="182">
        <f t="shared" si="37"/>
        <v>0</v>
      </c>
      <c r="AT189" s="182">
        <v>0</v>
      </c>
      <c r="AU189" s="182">
        <v>0</v>
      </c>
      <c r="AV189" s="199"/>
      <c r="AW189" s="285"/>
      <c r="AX189" s="285"/>
      <c r="AY189" s="266"/>
      <c r="AZ189" s="280"/>
      <c r="BA189" s="281" t="s">
        <v>1981</v>
      </c>
      <c r="BB189" s="282">
        <f>VLOOKUP(H189,[1]NVKD!$C$1:$M$3296,11,0)</f>
        <v>2</v>
      </c>
      <c r="BC189" s="281" t="s">
        <v>1982</v>
      </c>
      <c r="BD189" s="283" t="str">
        <f t="shared" si="38"/>
        <v>Showroom Tân An</v>
      </c>
      <c r="BF189" s="284">
        <f t="shared" si="39"/>
        <v>0</v>
      </c>
      <c r="BG189" s="284">
        <f>IFERROR(IF(Y189=0,0, IF(Y189 / VLOOKUP(M189,'[1]CSBH THƯỞNG XE'!$U$3:$AA$1100,7,FALSE) &lt; 0.5,0,MIN((Y189 / VLOOKUP(M189,'[1]CSBH THƯỞNG XE'!$U$3:$AA$1100,7,FALSE)) * 20%,20%))),0)</f>
        <v>0</v>
      </c>
      <c r="BI189" s="287"/>
    </row>
    <row r="190" spans="1:61" s="286" customFormat="1" ht="20.149999999999999" customHeight="1">
      <c r="A190" s="185">
        <v>46137</v>
      </c>
      <c r="B190" s="186">
        <f t="shared" si="32"/>
        <v>25</v>
      </c>
      <c r="C190" s="186">
        <f t="shared" si="33"/>
        <v>4</v>
      </c>
      <c r="D190" s="186">
        <f t="shared" si="34"/>
        <v>2026</v>
      </c>
      <c r="E190" s="185">
        <v>46141</v>
      </c>
      <c r="F190" s="187" t="s">
        <v>1272</v>
      </c>
      <c r="G190" s="188" t="s">
        <v>258</v>
      </c>
      <c r="H190" s="189" t="s">
        <v>145</v>
      </c>
      <c r="I190" s="189" t="s">
        <v>261</v>
      </c>
      <c r="J190" s="189" t="s">
        <v>1273</v>
      </c>
      <c r="K190" s="190"/>
      <c r="L190" s="190"/>
      <c r="M190" s="191" t="s">
        <v>114</v>
      </c>
      <c r="N190" s="191" t="s">
        <v>268</v>
      </c>
      <c r="O190" s="188" t="s">
        <v>114</v>
      </c>
      <c r="P190" s="192"/>
      <c r="Q190" s="180">
        <v>1</v>
      </c>
      <c r="R190" s="192" t="s">
        <v>941</v>
      </c>
      <c r="S190" s="193"/>
      <c r="T190" s="193"/>
      <c r="U190" s="193">
        <v>614195182</v>
      </c>
      <c r="V190" s="193"/>
      <c r="W190" s="194"/>
      <c r="X190" s="194"/>
      <c r="Y190" s="194">
        <v>4202111</v>
      </c>
      <c r="Z190" s="194"/>
      <c r="AA190" s="194">
        <v>10000000</v>
      </c>
      <c r="AB190" s="194">
        <f t="shared" si="42"/>
        <v>10000000</v>
      </c>
      <c r="AC190" s="195">
        <f t="shared" si="43"/>
        <v>10000000</v>
      </c>
      <c r="AD190" s="196">
        <f t="shared" ref="AD190:AD208" si="44">AC190</f>
        <v>10000000</v>
      </c>
      <c r="AE190" s="195"/>
      <c r="AF190" s="195"/>
      <c r="AG190" s="195"/>
      <c r="AH190" s="193"/>
      <c r="AI190" s="197"/>
      <c r="AJ190" s="198"/>
      <c r="AK190" s="188" t="s">
        <v>250</v>
      </c>
      <c r="AL190" s="181">
        <f>IF(E190&gt;=DATE(2026,4,1),IF(OR($AK190="Khách hàng thông thường",$AK190="Khách hàng chuyển đổi xe xăng"),IFERROR(VLOOKUP($M190,'[1]CSBH THƯỞNG XE'!$U$3:$YY$800,3,0),0),IF($AK190="Khách hàng Khối Quân đội - Công An",IFERROR(VLOOKUP($M190,'[1]CSBH THƯỞNG XE'!$U$3:$X$600,4,0),0),IF($AK190="Khách hàng Giờ trái đất",IFERROR(VLOOKUP($M190,'[1]CSBH THƯỞNG XE'!$U$3:$Y$700,5,0),0),0))),0)</f>
        <v>19000000</v>
      </c>
      <c r="AM190" s="181"/>
      <c r="AN190" s="181"/>
      <c r="AO190" s="182">
        <f t="shared" si="35"/>
        <v>9000000</v>
      </c>
      <c r="AP190" s="182">
        <f t="shared" si="40"/>
        <v>9000000</v>
      </c>
      <c r="AQ190" s="183">
        <f t="shared" si="41"/>
        <v>14000000</v>
      </c>
      <c r="AR190" s="182">
        <f t="shared" si="36"/>
        <v>0</v>
      </c>
      <c r="AS190" s="182">
        <f t="shared" si="37"/>
        <v>5000000</v>
      </c>
      <c r="AT190" s="182">
        <v>0</v>
      </c>
      <c r="AU190" s="182">
        <v>0</v>
      </c>
      <c r="AV190" s="194">
        <v>4202111</v>
      </c>
      <c r="AW190" s="285"/>
      <c r="AX190" s="285"/>
      <c r="AY190" s="266"/>
      <c r="AZ190" s="280">
        <v>0</v>
      </c>
      <c r="BA190" s="281" t="s">
        <v>1981</v>
      </c>
      <c r="BB190" s="282">
        <f>VLOOKUP(H190,[1]NVKD!$C$1:$M$3296,11,0)</f>
        <v>3</v>
      </c>
      <c r="BC190" s="281" t="s">
        <v>1984</v>
      </c>
      <c r="BD190" s="283" t="str">
        <f t="shared" si="38"/>
        <v>Showroom 50 Nguyễn Văn Tăng</v>
      </c>
      <c r="BF190" s="284">
        <f t="shared" si="39"/>
        <v>0.2</v>
      </c>
      <c r="BG190" s="284">
        <f>IFERROR(IF(Y190=0,0, IF(Y190 / VLOOKUP(M190,'[1]CSBH THƯỞNG XE'!$U$3:$AA$1100,7,FALSE) &lt; 0.5,0,MIN((Y190 / VLOOKUP(M190,'[1]CSBH THƯỞNG XE'!$U$3:$AA$1100,7,FALSE)) * 20%,20%))),0)</f>
        <v>0.2</v>
      </c>
      <c r="BI190" s="287"/>
    </row>
    <row r="191" spans="1:61" s="286" customFormat="1" ht="20.149999999999999" customHeight="1">
      <c r="A191" s="185">
        <v>46132</v>
      </c>
      <c r="B191" s="186">
        <f t="shared" si="32"/>
        <v>20</v>
      </c>
      <c r="C191" s="186">
        <f t="shared" si="33"/>
        <v>4</v>
      </c>
      <c r="D191" s="186">
        <f t="shared" si="34"/>
        <v>2026</v>
      </c>
      <c r="E191" s="185">
        <v>46141</v>
      </c>
      <c r="F191" s="187" t="s">
        <v>1274</v>
      </c>
      <c r="G191" s="188" t="s">
        <v>246</v>
      </c>
      <c r="H191" s="189" t="s">
        <v>157</v>
      </c>
      <c r="I191" s="189" t="s">
        <v>247</v>
      </c>
      <c r="J191" s="189" t="s">
        <v>920</v>
      </c>
      <c r="K191" s="190"/>
      <c r="L191" s="190"/>
      <c r="M191" s="191" t="s">
        <v>257</v>
      </c>
      <c r="N191" s="191" t="s">
        <v>255</v>
      </c>
      <c r="O191" s="188" t="s">
        <v>53</v>
      </c>
      <c r="P191" s="192"/>
      <c r="Q191" s="180">
        <v>1</v>
      </c>
      <c r="R191" s="192" t="s">
        <v>922</v>
      </c>
      <c r="S191" s="193"/>
      <c r="T191" s="193"/>
      <c r="U191" s="193">
        <v>699872727</v>
      </c>
      <c r="V191" s="193"/>
      <c r="W191" s="194"/>
      <c r="X191" s="194"/>
      <c r="Y191" s="194"/>
      <c r="Z191" s="194"/>
      <c r="AA191" s="194">
        <v>0</v>
      </c>
      <c r="AB191" s="194">
        <f t="shared" si="42"/>
        <v>0</v>
      </c>
      <c r="AC191" s="195">
        <f t="shared" si="43"/>
        <v>0</v>
      </c>
      <c r="AD191" s="196">
        <f t="shared" si="44"/>
        <v>0</v>
      </c>
      <c r="AE191" s="195"/>
      <c r="AF191" s="195"/>
      <c r="AG191" s="195"/>
      <c r="AH191" s="193"/>
      <c r="AI191" s="197"/>
      <c r="AJ191" s="198"/>
      <c r="AK191" s="188" t="s">
        <v>250</v>
      </c>
      <c r="AL191" s="181">
        <f>IF(E191&gt;=DATE(2026,4,1),IF(OR($AK191="Khách hàng thông thường",$AK191="Khách hàng chuyển đổi xe xăng"),IFERROR(VLOOKUP($M191,'[1]CSBH THƯỞNG XE'!$U$3:$YY$800,3,0),0),IF($AK191="Khách hàng Khối Quân đội - Công An",IFERROR(VLOOKUP($M191,'[1]CSBH THƯỞNG XE'!$U$3:$X$600,4,0),0),IF($AK191="Khách hàng Giờ trái đất",IFERROR(VLOOKUP($M191,'[1]CSBH THƯỞNG XE'!$U$3:$Y$700,5,0),0),0))),0)</f>
        <v>20000000</v>
      </c>
      <c r="AM191" s="181"/>
      <c r="AN191" s="181"/>
      <c r="AO191" s="182">
        <f t="shared" si="35"/>
        <v>12000000</v>
      </c>
      <c r="AP191" s="182">
        <f t="shared" si="40"/>
        <v>12000000</v>
      </c>
      <c r="AQ191" s="183">
        <f t="shared" si="41"/>
        <v>12000000</v>
      </c>
      <c r="AR191" s="182">
        <f t="shared" si="36"/>
        <v>0</v>
      </c>
      <c r="AS191" s="182">
        <f t="shared" si="37"/>
        <v>0</v>
      </c>
      <c r="AT191" s="182">
        <v>0</v>
      </c>
      <c r="AU191" s="182">
        <v>0</v>
      </c>
      <c r="AV191" s="199"/>
      <c r="AW191" s="285"/>
      <c r="AX191" s="285"/>
      <c r="AY191" s="266"/>
      <c r="AZ191" s="280"/>
      <c r="BA191" s="281" t="s">
        <v>1981</v>
      </c>
      <c r="BB191" s="282">
        <f>VLOOKUP(H191,[1]NVKD!$C$1:$M$3296,11,0)</f>
        <v>3</v>
      </c>
      <c r="BC191" s="281" t="s">
        <v>1982</v>
      </c>
      <c r="BD191" s="283" t="str">
        <f t="shared" si="38"/>
        <v>Showroom Bến Lức</v>
      </c>
      <c r="BF191" s="284">
        <f t="shared" si="39"/>
        <v>0</v>
      </c>
      <c r="BG191" s="284">
        <f>IFERROR(IF(Y191=0,0, IF(Y191 / VLOOKUP(M191,'[1]CSBH THƯỞNG XE'!$U$3:$AA$1100,7,FALSE) &lt; 0.5,0,MIN((Y191 / VLOOKUP(M191,'[1]CSBH THƯỞNG XE'!$U$3:$AA$1100,7,FALSE)) * 20%,20%))),0)</f>
        <v>0</v>
      </c>
      <c r="BI191" s="287"/>
    </row>
    <row r="192" spans="1:61" s="286" customFormat="1" ht="20.149999999999999" customHeight="1">
      <c r="A192" s="185">
        <v>46135</v>
      </c>
      <c r="B192" s="186">
        <f t="shared" si="32"/>
        <v>23</v>
      </c>
      <c r="C192" s="186">
        <f t="shared" si="33"/>
        <v>4</v>
      </c>
      <c r="D192" s="186">
        <f t="shared" si="34"/>
        <v>2026</v>
      </c>
      <c r="E192" s="185">
        <v>46141</v>
      </c>
      <c r="F192" s="187" t="s">
        <v>1275</v>
      </c>
      <c r="G192" s="188" t="s">
        <v>246</v>
      </c>
      <c r="H192" s="189" t="s">
        <v>135</v>
      </c>
      <c r="I192" s="189" t="s">
        <v>286</v>
      </c>
      <c r="J192" s="189" t="s">
        <v>1276</v>
      </c>
      <c r="K192" s="190"/>
      <c r="L192" s="190"/>
      <c r="M192" s="191" t="s">
        <v>276</v>
      </c>
      <c r="N192" s="191" t="s">
        <v>255</v>
      </c>
      <c r="O192" s="188" t="s">
        <v>105</v>
      </c>
      <c r="P192" s="192"/>
      <c r="Q192" s="180">
        <v>1</v>
      </c>
      <c r="R192" s="192" t="s">
        <v>926</v>
      </c>
      <c r="S192" s="193"/>
      <c r="T192" s="193"/>
      <c r="U192" s="193">
        <v>625727273</v>
      </c>
      <c r="V192" s="193"/>
      <c r="W192" s="194"/>
      <c r="X192" s="194"/>
      <c r="Y192" s="194"/>
      <c r="Z192" s="194"/>
      <c r="AA192" s="194">
        <v>12000000</v>
      </c>
      <c r="AB192" s="194">
        <f t="shared" si="42"/>
        <v>12000000</v>
      </c>
      <c r="AC192" s="195">
        <f t="shared" si="43"/>
        <v>12000000</v>
      </c>
      <c r="AD192" s="196">
        <f t="shared" si="44"/>
        <v>12000000</v>
      </c>
      <c r="AE192" s="195"/>
      <c r="AF192" s="195"/>
      <c r="AG192" s="195"/>
      <c r="AH192" s="193"/>
      <c r="AI192" s="197"/>
      <c r="AJ192" s="198"/>
      <c r="AK192" s="188" t="s">
        <v>250</v>
      </c>
      <c r="AL192" s="181">
        <f>IF(E192&gt;=DATE(2026,4,1),IF(OR($AK192="Khách hàng thông thường",$AK192="Khách hàng chuyển đổi xe xăng"),IFERROR(VLOOKUP($M192,'[1]CSBH THƯỞNG XE'!$U$3:$YY$800,3,0),0),IF($AK192="Khách hàng Khối Quân đội - Công An",IFERROR(VLOOKUP($M192,'[1]CSBH THƯỞNG XE'!$U$3:$X$600,4,0),0),IF($AK192="Khách hàng Giờ trái đất",IFERROR(VLOOKUP($M192,'[1]CSBH THƯỞNG XE'!$U$3:$Y$700,5,0),0),0))),0)</f>
        <v>20000000</v>
      </c>
      <c r="AM192" s="181"/>
      <c r="AN192" s="181"/>
      <c r="AO192" s="182">
        <f t="shared" si="35"/>
        <v>4800000</v>
      </c>
      <c r="AP192" s="182">
        <f t="shared" si="40"/>
        <v>4800000</v>
      </c>
      <c r="AQ192" s="183">
        <f t="shared" si="41"/>
        <v>4800000</v>
      </c>
      <c r="AR192" s="182">
        <f t="shared" si="36"/>
        <v>0</v>
      </c>
      <c r="AS192" s="182">
        <f t="shared" si="37"/>
        <v>0</v>
      </c>
      <c r="AT192" s="182">
        <v>0</v>
      </c>
      <c r="AU192" s="182">
        <v>0</v>
      </c>
      <c r="AV192" s="199"/>
      <c r="AW192" s="285"/>
      <c r="AX192" s="285"/>
      <c r="AY192" s="266"/>
      <c r="AZ192" s="280"/>
      <c r="BA192" s="281" t="s">
        <v>1983</v>
      </c>
      <c r="BB192" s="282">
        <f>VLOOKUP(H192,[1]NVKD!$C$1:$M$3296,11,0)</f>
        <v>6</v>
      </c>
      <c r="BC192" s="281" t="s">
        <v>1982</v>
      </c>
      <c r="BD192" s="283" t="str">
        <f t="shared" si="38"/>
        <v>Showroom Bến Lức</v>
      </c>
      <c r="BF192" s="284">
        <f t="shared" si="39"/>
        <v>0</v>
      </c>
      <c r="BG192" s="284">
        <f>IFERROR(IF(Y192=0,0, IF(Y192 / VLOOKUP(M192,'[1]CSBH THƯỞNG XE'!$U$3:$AA$1100,7,FALSE) &lt; 0.5,0,MIN((Y192 / VLOOKUP(M192,'[1]CSBH THƯỞNG XE'!$U$3:$AA$1100,7,FALSE)) * 20%,20%))),0)</f>
        <v>0</v>
      </c>
      <c r="BI192" s="287"/>
    </row>
    <row r="193" spans="1:61" s="286" customFormat="1" ht="20.149999999999999" customHeight="1">
      <c r="A193" s="185">
        <v>46133</v>
      </c>
      <c r="B193" s="186">
        <f t="shared" si="32"/>
        <v>21</v>
      </c>
      <c r="C193" s="186">
        <f t="shared" si="33"/>
        <v>4</v>
      </c>
      <c r="D193" s="186">
        <f t="shared" si="34"/>
        <v>2026</v>
      </c>
      <c r="E193" s="185">
        <v>46141</v>
      </c>
      <c r="F193" s="187" t="s">
        <v>1277</v>
      </c>
      <c r="G193" s="188" t="s">
        <v>258</v>
      </c>
      <c r="H193" s="189" t="s">
        <v>186</v>
      </c>
      <c r="I193" s="189" t="s">
        <v>259</v>
      </c>
      <c r="J193" s="189" t="s">
        <v>1278</v>
      </c>
      <c r="K193" s="190"/>
      <c r="L193" s="190"/>
      <c r="M193" s="191" t="s">
        <v>280</v>
      </c>
      <c r="N193" s="191" t="s">
        <v>260</v>
      </c>
      <c r="O193" s="188" t="s">
        <v>195</v>
      </c>
      <c r="P193" s="192"/>
      <c r="Q193" s="180">
        <v>1</v>
      </c>
      <c r="R193" s="192" t="s">
        <v>950</v>
      </c>
      <c r="S193" s="193"/>
      <c r="T193" s="193"/>
      <c r="U193" s="193">
        <v>560900000</v>
      </c>
      <c r="V193" s="193"/>
      <c r="W193" s="194"/>
      <c r="X193" s="194"/>
      <c r="Y193" s="194"/>
      <c r="Z193" s="194"/>
      <c r="AA193" s="194">
        <v>10000000</v>
      </c>
      <c r="AB193" s="194">
        <f t="shared" si="42"/>
        <v>10000000</v>
      </c>
      <c r="AC193" s="195">
        <f t="shared" si="43"/>
        <v>10000000</v>
      </c>
      <c r="AD193" s="196">
        <f t="shared" si="44"/>
        <v>10000000</v>
      </c>
      <c r="AE193" s="195"/>
      <c r="AF193" s="195"/>
      <c r="AG193" s="195"/>
      <c r="AH193" s="193"/>
      <c r="AI193" s="197"/>
      <c r="AJ193" s="198"/>
      <c r="AK193" s="188" t="s">
        <v>250</v>
      </c>
      <c r="AL193" s="181">
        <f>IF(E193&gt;=DATE(2026,4,1),IF(OR($AK193="Khách hàng thông thường",$AK193="Khách hàng chuyển đổi xe xăng"),IFERROR(VLOOKUP($M193,'[1]CSBH THƯỞNG XE'!$U$3:$YY$800,3,0),0),IF($AK193="Khách hàng Khối Quân đội - Công An",IFERROR(VLOOKUP($M193,'[1]CSBH THƯỞNG XE'!$U$3:$X$600,4,0),0),IF($AK193="Khách hàng Giờ trái đất",IFERROR(VLOOKUP($M193,'[1]CSBH THƯỞNG XE'!$U$3:$Y$700,5,0),0),0))),0)</f>
        <v>20000000</v>
      </c>
      <c r="AM193" s="181"/>
      <c r="AN193" s="181"/>
      <c r="AO193" s="182">
        <f t="shared" si="35"/>
        <v>6000000</v>
      </c>
      <c r="AP193" s="182">
        <f t="shared" si="40"/>
        <v>6000000</v>
      </c>
      <c r="AQ193" s="183">
        <f t="shared" si="41"/>
        <v>6000000</v>
      </c>
      <c r="AR193" s="182">
        <f t="shared" si="36"/>
        <v>0</v>
      </c>
      <c r="AS193" s="182">
        <f t="shared" si="37"/>
        <v>0</v>
      </c>
      <c r="AT193" s="182">
        <v>0</v>
      </c>
      <c r="AU193" s="182">
        <v>0</v>
      </c>
      <c r="AV193" s="199"/>
      <c r="AW193" s="285"/>
      <c r="AX193" s="285"/>
      <c r="AY193" s="266"/>
      <c r="AZ193" s="280"/>
      <c r="BA193" s="281" t="s">
        <v>1983</v>
      </c>
      <c r="BB193" s="282">
        <f>VLOOKUP(H193,[1]NVKD!$C$1:$M$3296,11,0)</f>
        <v>3</v>
      </c>
      <c r="BC193" s="288" t="s">
        <v>1982</v>
      </c>
      <c r="BD193" s="283" t="str">
        <f t="shared" si="38"/>
        <v>Showroom 50 Nguyễn Văn Tăng</v>
      </c>
      <c r="BF193" s="284">
        <f t="shared" si="39"/>
        <v>0</v>
      </c>
      <c r="BG193" s="284">
        <f>IFERROR(IF(Y193=0,0, IF(Y193 / VLOOKUP(M193,'[1]CSBH THƯỞNG XE'!$U$3:$AA$1100,7,FALSE) &lt; 0.5,0,MIN((Y193 / VLOOKUP(M193,'[1]CSBH THƯỞNG XE'!$U$3:$AA$1100,7,FALSE)) * 20%,20%))),0)</f>
        <v>0</v>
      </c>
      <c r="BI193" s="287"/>
    </row>
    <row r="194" spans="1:61" s="286" customFormat="1" ht="20.149999999999999" customHeight="1">
      <c r="A194" s="185">
        <v>46141</v>
      </c>
      <c r="B194" s="186">
        <f t="shared" si="32"/>
        <v>29</v>
      </c>
      <c r="C194" s="186">
        <f t="shared" si="33"/>
        <v>4</v>
      </c>
      <c r="D194" s="186">
        <f t="shared" si="34"/>
        <v>2026</v>
      </c>
      <c r="E194" s="185">
        <v>46141</v>
      </c>
      <c r="F194" s="187" t="s">
        <v>1279</v>
      </c>
      <c r="G194" s="188" t="s">
        <v>258</v>
      </c>
      <c r="H194" s="189" t="s">
        <v>194</v>
      </c>
      <c r="I194" s="189" t="s">
        <v>259</v>
      </c>
      <c r="J194" s="189" t="s">
        <v>1280</v>
      </c>
      <c r="K194" s="190"/>
      <c r="L194" s="190"/>
      <c r="M194" s="191" t="s">
        <v>257</v>
      </c>
      <c r="N194" s="191" t="s">
        <v>268</v>
      </c>
      <c r="O194" s="188" t="s">
        <v>53</v>
      </c>
      <c r="P194" s="192"/>
      <c r="Q194" s="180">
        <v>1</v>
      </c>
      <c r="R194" s="192" t="s">
        <v>944</v>
      </c>
      <c r="S194" s="193"/>
      <c r="T194" s="193"/>
      <c r="U194" s="193">
        <v>677536364</v>
      </c>
      <c r="V194" s="193"/>
      <c r="W194" s="194"/>
      <c r="X194" s="194"/>
      <c r="Y194" s="194"/>
      <c r="Z194" s="194"/>
      <c r="AA194" s="194">
        <v>0</v>
      </c>
      <c r="AB194" s="194">
        <f t="shared" si="42"/>
        <v>0</v>
      </c>
      <c r="AC194" s="195">
        <f t="shared" si="43"/>
        <v>0</v>
      </c>
      <c r="AD194" s="196">
        <f t="shared" si="44"/>
        <v>0</v>
      </c>
      <c r="AE194" s="195"/>
      <c r="AF194" s="195"/>
      <c r="AG194" s="195"/>
      <c r="AH194" s="193"/>
      <c r="AI194" s="197"/>
      <c r="AJ194" s="198"/>
      <c r="AK194" s="188" t="s">
        <v>250</v>
      </c>
      <c r="AL194" s="181">
        <f>IF(E194&gt;=DATE(2026,4,1),IF(OR($AK194="Khách hàng thông thường",$AK194="Khách hàng chuyển đổi xe xăng"),IFERROR(VLOOKUP($M194,'[1]CSBH THƯỞNG XE'!$U$3:$YY$800,3,0),0),IF($AK194="Khách hàng Khối Quân đội - Công An",IFERROR(VLOOKUP($M194,'[1]CSBH THƯỞNG XE'!$U$3:$X$600,4,0),0),IF($AK194="Khách hàng Giờ trái đất",IFERROR(VLOOKUP($M194,'[1]CSBH THƯỞNG XE'!$U$3:$Y$700,5,0),0),0))),0)</f>
        <v>20000000</v>
      </c>
      <c r="AM194" s="181"/>
      <c r="AN194" s="181"/>
      <c r="AO194" s="182">
        <f t="shared" si="35"/>
        <v>16000000</v>
      </c>
      <c r="AP194" s="182">
        <f t="shared" si="40"/>
        <v>16000000</v>
      </c>
      <c r="AQ194" s="183">
        <f t="shared" si="41"/>
        <v>16000000</v>
      </c>
      <c r="AR194" s="182">
        <f t="shared" si="36"/>
        <v>0</v>
      </c>
      <c r="AS194" s="182">
        <f t="shared" si="37"/>
        <v>0</v>
      </c>
      <c r="AT194" s="182">
        <v>0</v>
      </c>
      <c r="AU194" s="182">
        <v>0</v>
      </c>
      <c r="AV194" s="199"/>
      <c r="AW194" s="285"/>
      <c r="AX194" s="285"/>
      <c r="AY194" s="266"/>
      <c r="AZ194" s="280">
        <v>0</v>
      </c>
      <c r="BA194" s="281" t="s">
        <v>1981</v>
      </c>
      <c r="BB194" s="282">
        <f>VLOOKUP(H194,[1]NVKD!$C$1:$M$3296,11,0)</f>
        <v>6</v>
      </c>
      <c r="BC194" s="281" t="s">
        <v>1984</v>
      </c>
      <c r="BD194" s="283" t="str">
        <f t="shared" si="38"/>
        <v>Showroom 50 Nguyễn Văn Tăng</v>
      </c>
      <c r="BF194" s="284">
        <f t="shared" si="39"/>
        <v>0.2</v>
      </c>
      <c r="BG194" s="284">
        <f>IFERROR(IF(Y194=0,0, IF(Y194 / VLOOKUP(M194,'[1]CSBH THƯỞNG XE'!$U$3:$AA$1100,7,FALSE) &lt; 0.5,0,MIN((Y194 / VLOOKUP(M194,'[1]CSBH THƯỞNG XE'!$U$3:$AA$1100,7,FALSE)) * 20%,20%))),0)</f>
        <v>0</v>
      </c>
      <c r="BI194" s="287"/>
    </row>
    <row r="195" spans="1:61" s="286" customFormat="1" ht="20.149999999999999" customHeight="1">
      <c r="A195" s="185">
        <v>46138</v>
      </c>
      <c r="B195" s="186">
        <f t="shared" si="32"/>
        <v>26</v>
      </c>
      <c r="C195" s="186">
        <f t="shared" si="33"/>
        <v>4</v>
      </c>
      <c r="D195" s="186">
        <f t="shared" si="34"/>
        <v>2026</v>
      </c>
      <c r="E195" s="185">
        <v>46141</v>
      </c>
      <c r="F195" s="187" t="s">
        <v>1281</v>
      </c>
      <c r="G195" s="188" t="s">
        <v>254</v>
      </c>
      <c r="H195" s="189" t="s">
        <v>466</v>
      </c>
      <c r="I195" s="189"/>
      <c r="J195" s="189" t="s">
        <v>846</v>
      </c>
      <c r="K195" s="190"/>
      <c r="L195" s="190"/>
      <c r="M195" s="191" t="s">
        <v>114</v>
      </c>
      <c r="N195" s="191" t="s">
        <v>248</v>
      </c>
      <c r="O195" s="188" t="s">
        <v>172</v>
      </c>
      <c r="P195" s="192"/>
      <c r="Q195" s="180">
        <v>1</v>
      </c>
      <c r="R195" s="192" t="s">
        <v>848</v>
      </c>
      <c r="S195" s="193"/>
      <c r="T195" s="193"/>
      <c r="U195" s="193">
        <v>629145455</v>
      </c>
      <c r="V195" s="193"/>
      <c r="W195" s="194"/>
      <c r="X195" s="194"/>
      <c r="Y195" s="194"/>
      <c r="Z195" s="194"/>
      <c r="AA195" s="194">
        <v>12000000</v>
      </c>
      <c r="AB195" s="194">
        <f t="shared" si="42"/>
        <v>12000000</v>
      </c>
      <c r="AC195" s="195">
        <f t="shared" si="43"/>
        <v>12000000</v>
      </c>
      <c r="AD195" s="196">
        <f t="shared" si="44"/>
        <v>12000000</v>
      </c>
      <c r="AE195" s="195"/>
      <c r="AF195" s="195"/>
      <c r="AG195" s="195"/>
      <c r="AH195" s="193"/>
      <c r="AI195" s="197"/>
      <c r="AJ195" s="198"/>
      <c r="AK195" s="188" t="s">
        <v>250</v>
      </c>
      <c r="AL195" s="181">
        <f>IF(E195&gt;=DATE(2026,4,1),IF(OR($AK195="Khách hàng thông thường",$AK195="Khách hàng chuyển đổi xe xăng"),IFERROR(VLOOKUP($M195,'[1]CSBH THƯỞNG XE'!$U$3:$YY$800,3,0),0),IF($AK195="Khách hàng Khối Quân đội - Công An",IFERROR(VLOOKUP($M195,'[1]CSBH THƯỞNG XE'!$U$3:$X$600,4,0),0),IF($AK195="Khách hàng Giờ trái đất",IFERROR(VLOOKUP($M195,'[1]CSBH THƯỞNG XE'!$U$3:$Y$700,5,0),0),0))),0)</f>
        <v>19000000</v>
      </c>
      <c r="AM195" s="181"/>
      <c r="AN195" s="181"/>
      <c r="AO195" s="182">
        <f t="shared" si="35"/>
        <v>4200000</v>
      </c>
      <c r="AP195" s="182">
        <f t="shared" si="40"/>
        <v>4200000</v>
      </c>
      <c r="AQ195" s="183">
        <f t="shared" si="41"/>
        <v>9200000</v>
      </c>
      <c r="AR195" s="182">
        <f t="shared" si="36"/>
        <v>0</v>
      </c>
      <c r="AS195" s="182">
        <f t="shared" si="37"/>
        <v>5000000</v>
      </c>
      <c r="AT195" s="182">
        <v>0</v>
      </c>
      <c r="AU195" s="182">
        <v>0</v>
      </c>
      <c r="AV195" s="199"/>
      <c r="AW195" s="285"/>
      <c r="AX195" s="285"/>
      <c r="AY195" s="266"/>
      <c r="AZ195" s="280">
        <v>0</v>
      </c>
      <c r="BA195" s="281">
        <v>0</v>
      </c>
      <c r="BB195" s="282">
        <f>VLOOKUP(H195,[1]NVKD!$C$1:$M$3296,11,0)</f>
        <v>4</v>
      </c>
      <c r="BC195" s="281" t="s">
        <v>1982</v>
      </c>
      <c r="BD195" s="283" t="str">
        <f t="shared" si="38"/>
        <v>Showroom Sala</v>
      </c>
      <c r="BF195" s="284">
        <f t="shared" si="39"/>
        <v>0</v>
      </c>
      <c r="BG195" s="284">
        <f>IFERROR(IF(Y195=0,0, IF(Y195 / VLOOKUP(M195,'[1]CSBH THƯỞNG XE'!$U$3:$AA$1100,7,FALSE) &lt; 0.5,0,MIN((Y195 / VLOOKUP(M195,'[1]CSBH THƯỞNG XE'!$U$3:$AA$1100,7,FALSE)) * 20%,20%))),0)</f>
        <v>0</v>
      </c>
      <c r="BI195" s="287"/>
    </row>
    <row r="196" spans="1:61" s="286" customFormat="1" ht="20.149999999999999" customHeight="1">
      <c r="A196" s="185">
        <v>46127</v>
      </c>
      <c r="B196" s="186">
        <f t="shared" si="32"/>
        <v>15</v>
      </c>
      <c r="C196" s="186">
        <f t="shared" si="33"/>
        <v>4</v>
      </c>
      <c r="D196" s="186">
        <f t="shared" si="34"/>
        <v>2026</v>
      </c>
      <c r="E196" s="185">
        <v>46141</v>
      </c>
      <c r="F196" s="187" t="s">
        <v>1282</v>
      </c>
      <c r="G196" s="188" t="s">
        <v>258</v>
      </c>
      <c r="H196" s="189" t="s">
        <v>139</v>
      </c>
      <c r="I196" s="189" t="s">
        <v>259</v>
      </c>
      <c r="J196" s="189" t="s">
        <v>1283</v>
      </c>
      <c r="K196" s="190"/>
      <c r="L196" s="190"/>
      <c r="M196" s="191" t="s">
        <v>257</v>
      </c>
      <c r="N196" s="191" t="s">
        <v>262</v>
      </c>
      <c r="O196" s="188" t="s">
        <v>53</v>
      </c>
      <c r="P196" s="192"/>
      <c r="Q196" s="180">
        <v>1</v>
      </c>
      <c r="R196" s="192" t="s">
        <v>956</v>
      </c>
      <c r="S196" s="193"/>
      <c r="T196" s="193"/>
      <c r="U196" s="193">
        <v>671172727</v>
      </c>
      <c r="V196" s="193"/>
      <c r="W196" s="194"/>
      <c r="X196" s="194"/>
      <c r="Y196" s="194"/>
      <c r="Z196" s="194"/>
      <c r="AA196" s="194">
        <v>7000000</v>
      </c>
      <c r="AB196" s="194">
        <f t="shared" si="42"/>
        <v>7000000</v>
      </c>
      <c r="AC196" s="195">
        <f t="shared" si="43"/>
        <v>7000000</v>
      </c>
      <c r="AD196" s="196">
        <f t="shared" si="44"/>
        <v>7000000</v>
      </c>
      <c r="AE196" s="195"/>
      <c r="AF196" s="195"/>
      <c r="AG196" s="195"/>
      <c r="AH196" s="193"/>
      <c r="AI196" s="197"/>
      <c r="AJ196" s="198"/>
      <c r="AK196" s="188" t="s">
        <v>250</v>
      </c>
      <c r="AL196" s="181">
        <f>IF(E196&gt;=DATE(2026,4,1),IF(OR($AK196="Khách hàng thông thường",$AK196="Khách hàng chuyển đổi xe xăng"),IFERROR(VLOOKUP($M196,'[1]CSBH THƯỞNG XE'!$U$3:$YY$800,3,0),0),IF($AK196="Khách hàng Khối Quân đội - Công An",IFERROR(VLOOKUP($M196,'[1]CSBH THƯỞNG XE'!$U$3:$X$600,4,0),0),IF($AK196="Khách hàng Giờ trái đất",IFERROR(VLOOKUP($M196,'[1]CSBH THƯỞNG XE'!$U$3:$Y$700,5,0),0),0))),0)</f>
        <v>20000000</v>
      </c>
      <c r="AM196" s="181"/>
      <c r="AN196" s="181"/>
      <c r="AO196" s="182">
        <f t="shared" si="35"/>
        <v>10400000</v>
      </c>
      <c r="AP196" s="182">
        <f t="shared" si="40"/>
        <v>10400000</v>
      </c>
      <c r="AQ196" s="183">
        <f t="shared" si="41"/>
        <v>10400000</v>
      </c>
      <c r="AR196" s="182">
        <f t="shared" si="36"/>
        <v>0</v>
      </c>
      <c r="AS196" s="182">
        <f t="shared" si="37"/>
        <v>0</v>
      </c>
      <c r="AT196" s="182">
        <v>0</v>
      </c>
      <c r="AU196" s="182">
        <v>0</v>
      </c>
      <c r="AV196" s="199"/>
      <c r="AW196" s="285"/>
      <c r="AX196" s="285"/>
      <c r="AY196" s="266"/>
      <c r="AZ196" s="280"/>
      <c r="BA196" s="281" t="s">
        <v>1981</v>
      </c>
      <c r="BB196" s="282">
        <f>VLOOKUP(H196,[1]NVKD!$C$1:$M$3296,11,0)</f>
        <v>8</v>
      </c>
      <c r="BC196" s="281" t="s">
        <v>1984</v>
      </c>
      <c r="BD196" s="283" t="str">
        <f t="shared" si="38"/>
        <v>Showroom 50 Nguyễn Văn Tăng</v>
      </c>
      <c r="BF196" s="284">
        <f t="shared" si="39"/>
        <v>0.2</v>
      </c>
      <c r="BG196" s="284">
        <f>IFERROR(IF(Y196=0,0, IF(Y196 / VLOOKUP(M196,'[1]CSBH THƯỞNG XE'!$U$3:$AA$1100,7,FALSE) &lt; 0.5,0,MIN((Y196 / VLOOKUP(M196,'[1]CSBH THƯỞNG XE'!$U$3:$AA$1100,7,FALSE)) * 20%,20%))),0)</f>
        <v>0</v>
      </c>
      <c r="BI196" s="287"/>
    </row>
    <row r="197" spans="1:61" s="286" customFormat="1" ht="20.149999999999999" customHeight="1">
      <c r="A197" s="185">
        <v>46133</v>
      </c>
      <c r="B197" s="186">
        <f t="shared" si="32"/>
        <v>21</v>
      </c>
      <c r="C197" s="186">
        <f t="shared" si="33"/>
        <v>4</v>
      </c>
      <c r="D197" s="186">
        <f t="shared" si="34"/>
        <v>2026</v>
      </c>
      <c r="E197" s="185">
        <v>46141</v>
      </c>
      <c r="F197" s="187" t="s">
        <v>1284</v>
      </c>
      <c r="G197" s="188" t="s">
        <v>254</v>
      </c>
      <c r="H197" s="189" t="s">
        <v>129</v>
      </c>
      <c r="I197" s="189"/>
      <c r="J197" s="189" t="s">
        <v>849</v>
      </c>
      <c r="K197" s="190"/>
      <c r="L197" s="190"/>
      <c r="M197" s="191" t="s">
        <v>56</v>
      </c>
      <c r="N197" s="191" t="s">
        <v>255</v>
      </c>
      <c r="O197" s="188" t="s">
        <v>105</v>
      </c>
      <c r="P197" s="192"/>
      <c r="Q197" s="180">
        <v>1</v>
      </c>
      <c r="R197" s="192" t="s">
        <v>851</v>
      </c>
      <c r="S197" s="193"/>
      <c r="T197" s="193"/>
      <c r="U197" s="193">
        <v>280909091</v>
      </c>
      <c r="V197" s="193"/>
      <c r="W197" s="194"/>
      <c r="X197" s="194"/>
      <c r="Y197" s="194"/>
      <c r="Z197" s="194"/>
      <c r="AA197" s="194">
        <v>6000000</v>
      </c>
      <c r="AB197" s="194">
        <f t="shared" si="42"/>
        <v>6000000</v>
      </c>
      <c r="AC197" s="195">
        <f t="shared" si="43"/>
        <v>6000000</v>
      </c>
      <c r="AD197" s="196">
        <f t="shared" si="44"/>
        <v>6000000</v>
      </c>
      <c r="AE197" s="195"/>
      <c r="AF197" s="195"/>
      <c r="AG197" s="195"/>
      <c r="AH197" s="193"/>
      <c r="AI197" s="197"/>
      <c r="AJ197" s="198"/>
      <c r="AK197" s="188" t="s">
        <v>250</v>
      </c>
      <c r="AL197" s="181">
        <f>IF(E197&gt;=DATE(2026,4,1),IF(OR($AK197="Khách hàng thông thường",$AK197="Khách hàng chuyển đổi xe xăng"),IFERROR(VLOOKUP($M197,'[1]CSBH THƯỞNG XE'!$U$3:$YY$800,3,0),0),IF($AK197="Khách hàng Khối Quân đội - Công An",IFERROR(VLOOKUP($M197,'[1]CSBH THƯỞNG XE'!$U$3:$X$600,4,0),0),IF($AK197="Khách hàng Giờ trái đất",IFERROR(VLOOKUP($M197,'[1]CSBH THƯỞNG XE'!$U$3:$Y$700,5,0),0),0))),0)</f>
        <v>8500000</v>
      </c>
      <c r="AM197" s="181"/>
      <c r="AN197" s="181"/>
      <c r="AO197" s="182">
        <f t="shared" si="35"/>
        <v>1500000</v>
      </c>
      <c r="AP197" s="182">
        <f t="shared" si="40"/>
        <v>1500000</v>
      </c>
      <c r="AQ197" s="183">
        <f t="shared" si="41"/>
        <v>1500000</v>
      </c>
      <c r="AR197" s="182">
        <f t="shared" si="36"/>
        <v>0</v>
      </c>
      <c r="AS197" s="182">
        <f t="shared" si="37"/>
        <v>0</v>
      </c>
      <c r="AT197" s="182">
        <v>0</v>
      </c>
      <c r="AU197" s="182">
        <v>0</v>
      </c>
      <c r="AV197" s="199"/>
      <c r="AW197" s="285"/>
      <c r="AX197" s="285"/>
      <c r="AY197" s="266"/>
      <c r="AZ197" s="280"/>
      <c r="BA197" s="281">
        <v>0</v>
      </c>
      <c r="BB197" s="282">
        <f>VLOOKUP(H197,[1]NVKD!$C$1:$M$3296,11,0)</f>
        <v>4</v>
      </c>
      <c r="BC197" s="281" t="s">
        <v>1982</v>
      </c>
      <c r="BD197" s="283" t="str">
        <f t="shared" si="38"/>
        <v>Showroom Sala</v>
      </c>
      <c r="BF197" s="284">
        <f t="shared" si="39"/>
        <v>0</v>
      </c>
      <c r="BG197" s="284">
        <f>IFERROR(IF(Y197=0,0, IF(Y197 / VLOOKUP(M197,'[1]CSBH THƯỞNG XE'!$U$3:$AA$1100,7,FALSE) &lt; 0.5,0,MIN((Y197 / VLOOKUP(M197,'[1]CSBH THƯỞNG XE'!$U$3:$AA$1100,7,FALSE)) * 20%,20%))),0)</f>
        <v>0</v>
      </c>
      <c r="BI197" s="287"/>
    </row>
    <row r="198" spans="1:61" s="286" customFormat="1" ht="20.149999999999999" customHeight="1">
      <c r="A198" s="185">
        <v>46136</v>
      </c>
      <c r="B198" s="186">
        <f t="shared" si="32"/>
        <v>24</v>
      </c>
      <c r="C198" s="186">
        <f t="shared" si="33"/>
        <v>4</v>
      </c>
      <c r="D198" s="186">
        <f t="shared" si="34"/>
        <v>2026</v>
      </c>
      <c r="E198" s="185">
        <v>46141</v>
      </c>
      <c r="F198" s="187" t="s">
        <v>1285</v>
      </c>
      <c r="G198" s="188" t="s">
        <v>258</v>
      </c>
      <c r="H198" s="189" t="s">
        <v>146</v>
      </c>
      <c r="I198" s="189" t="s">
        <v>261</v>
      </c>
      <c r="J198" s="189" t="s">
        <v>19</v>
      </c>
      <c r="K198" s="190"/>
      <c r="L198" s="190"/>
      <c r="M198" s="191" t="s">
        <v>56</v>
      </c>
      <c r="N198" s="191" t="s">
        <v>262</v>
      </c>
      <c r="O198" s="188" t="s">
        <v>140</v>
      </c>
      <c r="P198" s="192"/>
      <c r="Q198" s="180">
        <v>1</v>
      </c>
      <c r="R198" s="192" t="s">
        <v>947</v>
      </c>
      <c r="S198" s="193"/>
      <c r="T198" s="193"/>
      <c r="U198" s="193">
        <v>269181818</v>
      </c>
      <c r="V198" s="193"/>
      <c r="W198" s="194"/>
      <c r="X198" s="194"/>
      <c r="Y198" s="194"/>
      <c r="Z198" s="194"/>
      <c r="AA198" s="194">
        <v>0</v>
      </c>
      <c r="AB198" s="194">
        <f t="shared" si="42"/>
        <v>0</v>
      </c>
      <c r="AC198" s="195">
        <f t="shared" si="43"/>
        <v>0</v>
      </c>
      <c r="AD198" s="196">
        <f t="shared" si="44"/>
        <v>0</v>
      </c>
      <c r="AE198" s="195"/>
      <c r="AF198" s="195"/>
      <c r="AG198" s="195"/>
      <c r="AH198" s="193"/>
      <c r="AI198" s="197"/>
      <c r="AJ198" s="198"/>
      <c r="AK198" s="188" t="s">
        <v>250</v>
      </c>
      <c r="AL198" s="181">
        <f>IF(E198&gt;=DATE(2026,4,1),IF(OR($AK198="Khách hàng thông thường",$AK198="Khách hàng chuyển đổi xe xăng"),IFERROR(VLOOKUP($M198,'[1]CSBH THƯỞNG XE'!$U$3:$YY$800,3,0),0),IF($AK198="Khách hàng Khối Quân đội - Công An",IFERROR(VLOOKUP($M198,'[1]CSBH THƯỞNG XE'!$U$3:$X$600,4,0),0),IF($AK198="Khách hàng Giờ trái đất",IFERROR(VLOOKUP($M198,'[1]CSBH THƯỞNG XE'!$U$3:$Y$700,5,0),0),0))),0)</f>
        <v>8500000</v>
      </c>
      <c r="AM198" s="181"/>
      <c r="AN198" s="181"/>
      <c r="AO198" s="182">
        <f t="shared" si="35"/>
        <v>6800000</v>
      </c>
      <c r="AP198" s="182">
        <f t="shared" si="40"/>
        <v>6800000</v>
      </c>
      <c r="AQ198" s="183">
        <f t="shared" si="41"/>
        <v>6800000</v>
      </c>
      <c r="AR198" s="182">
        <f t="shared" si="36"/>
        <v>0</v>
      </c>
      <c r="AS198" s="182">
        <f t="shared" si="37"/>
        <v>0</v>
      </c>
      <c r="AT198" s="182">
        <v>0</v>
      </c>
      <c r="AU198" s="182">
        <v>0</v>
      </c>
      <c r="AV198" s="199"/>
      <c r="AW198" s="285"/>
      <c r="AX198" s="285"/>
      <c r="AY198" s="266"/>
      <c r="AZ198" s="280">
        <v>0</v>
      </c>
      <c r="BA198" s="281" t="s">
        <v>1981</v>
      </c>
      <c r="BB198" s="282">
        <f>VLOOKUP(H198,[1]NVKD!$C$1:$M$3296,11,0)</f>
        <v>3</v>
      </c>
      <c r="BC198" s="281" t="s">
        <v>1984</v>
      </c>
      <c r="BD198" s="283" t="str">
        <f t="shared" si="38"/>
        <v>Showroom 50 Nguyễn Văn Tăng</v>
      </c>
      <c r="BF198" s="284">
        <f t="shared" si="39"/>
        <v>0.2</v>
      </c>
      <c r="BG198" s="284">
        <f>IFERROR(IF(Y198=0,0, IF(Y198 / VLOOKUP(M198,'[1]CSBH THƯỞNG XE'!$U$3:$AA$1100,7,FALSE) &lt; 0.5,0,MIN((Y198 / VLOOKUP(M198,'[1]CSBH THƯỞNG XE'!$U$3:$AA$1100,7,FALSE)) * 20%,20%))),0)</f>
        <v>0</v>
      </c>
      <c r="BI198" s="287"/>
    </row>
    <row r="199" spans="1:61" s="286" customFormat="1" ht="20.149999999999999" customHeight="1">
      <c r="A199" s="185">
        <v>46141</v>
      </c>
      <c r="B199" s="186">
        <f t="shared" si="32"/>
        <v>29</v>
      </c>
      <c r="C199" s="186">
        <f t="shared" si="33"/>
        <v>4</v>
      </c>
      <c r="D199" s="186">
        <f t="shared" si="34"/>
        <v>2026</v>
      </c>
      <c r="E199" s="185">
        <v>46142</v>
      </c>
      <c r="F199" s="187" t="s">
        <v>1286</v>
      </c>
      <c r="G199" s="188" t="s">
        <v>263</v>
      </c>
      <c r="H199" s="189" t="s">
        <v>152</v>
      </c>
      <c r="I199" s="189" t="s">
        <v>273</v>
      </c>
      <c r="J199" s="189" t="s">
        <v>976</v>
      </c>
      <c r="K199" s="190"/>
      <c r="L199" s="190"/>
      <c r="M199" s="191" t="s">
        <v>280</v>
      </c>
      <c r="N199" s="191" t="s">
        <v>266</v>
      </c>
      <c r="O199" s="188" t="s">
        <v>134</v>
      </c>
      <c r="P199" s="192"/>
      <c r="Q199" s="180">
        <v>1</v>
      </c>
      <c r="R199" s="192" t="s">
        <v>978</v>
      </c>
      <c r="S199" s="193"/>
      <c r="T199" s="193"/>
      <c r="U199" s="193">
        <v>569990909</v>
      </c>
      <c r="V199" s="193"/>
      <c r="W199" s="194"/>
      <c r="X199" s="194"/>
      <c r="Y199" s="194"/>
      <c r="Z199" s="194"/>
      <c r="AA199" s="194">
        <v>0</v>
      </c>
      <c r="AB199" s="194">
        <f t="shared" si="42"/>
        <v>0</v>
      </c>
      <c r="AC199" s="195">
        <f t="shared" si="43"/>
        <v>0</v>
      </c>
      <c r="AD199" s="196">
        <f t="shared" si="44"/>
        <v>0</v>
      </c>
      <c r="AE199" s="195"/>
      <c r="AF199" s="195"/>
      <c r="AG199" s="195"/>
      <c r="AH199" s="193"/>
      <c r="AI199" s="197"/>
      <c r="AJ199" s="198"/>
      <c r="AK199" s="188" t="s">
        <v>250</v>
      </c>
      <c r="AL199" s="181">
        <f>IF(E199&gt;=DATE(2026,4,1),IF(OR($AK199="Khách hàng thông thường",$AK199="Khách hàng chuyển đổi xe xăng"),IFERROR(VLOOKUP($M199,'[1]CSBH THƯỞNG XE'!$U$3:$YY$800,3,0),0),IF($AK199="Khách hàng Khối Quân đội - Công An",IFERROR(VLOOKUP($M199,'[1]CSBH THƯỞNG XE'!$U$3:$X$600,4,0),0),IF($AK199="Khách hàng Giờ trái đất",IFERROR(VLOOKUP($M199,'[1]CSBH THƯỞNG XE'!$U$3:$Y$700,5,0),0),0))),0)</f>
        <v>20000000</v>
      </c>
      <c r="AM199" s="181"/>
      <c r="AN199" s="181"/>
      <c r="AO199" s="182">
        <f t="shared" si="35"/>
        <v>12000000</v>
      </c>
      <c r="AP199" s="182">
        <f t="shared" si="40"/>
        <v>12000000</v>
      </c>
      <c r="AQ199" s="183">
        <f t="shared" si="41"/>
        <v>12000000</v>
      </c>
      <c r="AR199" s="182">
        <f t="shared" si="36"/>
        <v>0</v>
      </c>
      <c r="AS199" s="182">
        <f t="shared" si="37"/>
        <v>0</v>
      </c>
      <c r="AT199" s="182">
        <v>0</v>
      </c>
      <c r="AU199" s="182">
        <v>0</v>
      </c>
      <c r="AV199" s="199"/>
      <c r="AW199" s="285"/>
      <c r="AX199" s="285"/>
      <c r="AY199" s="266"/>
      <c r="AZ199" s="280">
        <v>0</v>
      </c>
      <c r="BA199" s="281" t="s">
        <v>1981</v>
      </c>
      <c r="BB199" s="282">
        <f>VLOOKUP(H199,[1]NVKD!$C$1:$M$3296,11,0)</f>
        <v>4</v>
      </c>
      <c r="BC199" s="281" t="s">
        <v>1982</v>
      </c>
      <c r="BD199" s="283" t="str">
        <f t="shared" si="38"/>
        <v>Showroom Quang Trung</v>
      </c>
      <c r="BF199" s="284">
        <f t="shared" si="39"/>
        <v>0</v>
      </c>
      <c r="BG199" s="284">
        <f>IFERROR(IF(Y199=0,0, IF(Y199 / VLOOKUP(M199,'[1]CSBH THƯỞNG XE'!$U$3:$AA$1100,7,FALSE) &lt; 0.5,0,MIN((Y199 / VLOOKUP(M199,'[1]CSBH THƯỞNG XE'!$U$3:$AA$1100,7,FALSE)) * 20%,20%))),0)</f>
        <v>0</v>
      </c>
      <c r="BI199" s="287"/>
    </row>
    <row r="200" spans="1:61" s="286" customFormat="1" ht="20.149999999999999" customHeight="1">
      <c r="A200" s="185">
        <v>46132</v>
      </c>
      <c r="B200" s="186">
        <f t="shared" ref="B200:B208" si="45">DAY(A200)</f>
        <v>20</v>
      </c>
      <c r="C200" s="186">
        <f t="shared" ref="C200:C208" si="46">MONTH(A200)</f>
        <v>4</v>
      </c>
      <c r="D200" s="186">
        <f t="shared" ref="D200:D208" si="47">YEAR(A200)</f>
        <v>2026</v>
      </c>
      <c r="E200" s="185">
        <v>46142</v>
      </c>
      <c r="F200" s="187" t="s">
        <v>1287</v>
      </c>
      <c r="G200" s="188" t="s">
        <v>263</v>
      </c>
      <c r="H200" s="189" t="s">
        <v>457</v>
      </c>
      <c r="I200" s="189" t="s">
        <v>273</v>
      </c>
      <c r="J200" s="189" t="s">
        <v>979</v>
      </c>
      <c r="K200" s="190"/>
      <c r="L200" s="190"/>
      <c r="M200" s="191" t="s">
        <v>114</v>
      </c>
      <c r="N200" s="191" t="s">
        <v>255</v>
      </c>
      <c r="O200" s="188" t="s">
        <v>148</v>
      </c>
      <c r="P200" s="192"/>
      <c r="Q200" s="180">
        <v>1</v>
      </c>
      <c r="R200" s="192" t="s">
        <v>981</v>
      </c>
      <c r="S200" s="193"/>
      <c r="T200" s="193"/>
      <c r="U200" s="193">
        <v>649572727</v>
      </c>
      <c r="V200" s="193"/>
      <c r="W200" s="194"/>
      <c r="X200" s="194"/>
      <c r="Y200" s="194"/>
      <c r="Z200" s="194"/>
      <c r="AA200" s="194">
        <v>12000000</v>
      </c>
      <c r="AB200" s="194">
        <f t="shared" si="42"/>
        <v>12000000</v>
      </c>
      <c r="AC200" s="195">
        <f t="shared" si="43"/>
        <v>12000000</v>
      </c>
      <c r="AD200" s="196">
        <f t="shared" si="44"/>
        <v>12000000</v>
      </c>
      <c r="AE200" s="195"/>
      <c r="AF200" s="195"/>
      <c r="AG200" s="195"/>
      <c r="AH200" s="193"/>
      <c r="AI200" s="197"/>
      <c r="AJ200" s="198"/>
      <c r="AK200" s="188" t="s">
        <v>250</v>
      </c>
      <c r="AL200" s="181">
        <f>IF(E200&gt;=DATE(2026,4,1),IF(OR($AK200="Khách hàng thông thường",$AK200="Khách hàng chuyển đổi xe xăng"),IFERROR(VLOOKUP($M200,'[1]CSBH THƯỞNG XE'!$U$3:$YY$800,3,0),0),IF($AK200="Khách hàng Khối Quân đội - Công An",IFERROR(VLOOKUP($M200,'[1]CSBH THƯỞNG XE'!$U$3:$X$600,4,0),0),IF($AK200="Khách hàng Giờ trái đất",IFERROR(VLOOKUP($M200,'[1]CSBH THƯỞNG XE'!$U$3:$Y$700,5,0),0),0))),0)</f>
        <v>19000000</v>
      </c>
      <c r="AM200" s="181"/>
      <c r="AN200" s="181"/>
      <c r="AO200" s="182">
        <f t="shared" ref="AO200:AO208" si="48">+(AL200+AM200+AN200-AD200)*(60%+BF200+BG200)</f>
        <v>4200000</v>
      </c>
      <c r="AP200" s="182">
        <f t="shared" si="40"/>
        <v>4200000</v>
      </c>
      <c r="AQ200" s="183">
        <f t="shared" si="41"/>
        <v>4200000</v>
      </c>
      <c r="AR200" s="182">
        <f t="shared" ref="AR200:AR208" si="49">IF(AND(LEFT(R200,3)="VF8",OR(RIGHT(R200,6)="997261", RIGHT(R200,6)="997323")),10000000,0)+IF(AND(LEFT(R200,3)="VF7",OR(RIGHT(R200,6)="879204",RIGHT(R200,6)="888618",RIGHT(R200,6)="888692",RIGHT(R200,6)="878174")),5000000,0)+IF(AND(LEFT(R200,3)="VF9",OR(RIGHT(R200,6)="703199",RIGHT(R200,6)="814035",RIGHT(R200,6)="788297",RIGHT(R200,6)="815790")),10000000,0)</f>
        <v>0</v>
      </c>
      <c r="AS200" s="182">
        <f t="shared" ref="AS200:AS208" si="50">IF(N200="TRẮNG",0,IF(AND(M200="Limo green",A200&lt;DATE(2026,4,21)),3000000,IF(AND(M200="Limo green",A200&lt;=DATE(2026,4,30)),5000000,0)))</f>
        <v>0</v>
      </c>
      <c r="AT200" s="182">
        <v>4200000</v>
      </c>
      <c r="AU200" s="182">
        <v>0</v>
      </c>
      <c r="AV200" s="199"/>
      <c r="AW200" s="285"/>
      <c r="AX200" s="285"/>
      <c r="AY200" s="266"/>
      <c r="AZ200" s="280"/>
      <c r="BA200" s="281" t="s">
        <v>1983</v>
      </c>
      <c r="BB200" s="282">
        <f>VLOOKUP(H200,[1]NVKD!$C$1:$M$3296,11,0)</f>
        <v>4</v>
      </c>
      <c r="BC200" s="281" t="s">
        <v>1982</v>
      </c>
      <c r="BD200" s="283" t="str">
        <f t="shared" ref="BD200:BD208" si="51">G200</f>
        <v>Showroom Quang Trung</v>
      </c>
      <c r="BF200" s="284">
        <f t="shared" ref="BF200:BF208" si="52">IFERROR(IF(BC200="Trả thẳng",20%,IF(W200=0,0,IF(W200/4000000&lt;0.5,0,MIN(W200/4000000*20%,20%)))),0)</f>
        <v>0</v>
      </c>
      <c r="BG200" s="284">
        <f>IFERROR(IF(Y200=0,0, IF(Y200 / VLOOKUP(M200,'[1]CSBH THƯỞNG XE'!$U$3:$AA$1100,7,FALSE) &lt; 0.5,0,MIN((Y200 / VLOOKUP(M200,'[1]CSBH THƯỞNG XE'!$U$3:$AA$1100,7,FALSE)) * 20%,20%))),0)</f>
        <v>0</v>
      </c>
      <c r="BI200" s="287"/>
    </row>
    <row r="201" spans="1:61" s="286" customFormat="1" ht="20.149999999999999" customHeight="1">
      <c r="A201" s="185">
        <v>46135</v>
      </c>
      <c r="B201" s="186">
        <f t="shared" si="45"/>
        <v>23</v>
      </c>
      <c r="C201" s="186">
        <f t="shared" si="46"/>
        <v>4</v>
      </c>
      <c r="D201" s="186">
        <f t="shared" si="47"/>
        <v>2026</v>
      </c>
      <c r="E201" s="185">
        <v>46142</v>
      </c>
      <c r="F201" s="187" t="s">
        <v>1288</v>
      </c>
      <c r="G201" s="188" t="s">
        <v>263</v>
      </c>
      <c r="H201" s="189" t="s">
        <v>461</v>
      </c>
      <c r="I201" s="189" t="s">
        <v>264</v>
      </c>
      <c r="J201" s="189" t="s">
        <v>982</v>
      </c>
      <c r="K201" s="190"/>
      <c r="L201" s="190"/>
      <c r="M201" s="191" t="s">
        <v>114</v>
      </c>
      <c r="N201" s="191" t="s">
        <v>255</v>
      </c>
      <c r="O201" s="188" t="s">
        <v>984</v>
      </c>
      <c r="P201" s="192"/>
      <c r="Q201" s="180">
        <v>1</v>
      </c>
      <c r="R201" s="192" t="s">
        <v>985</v>
      </c>
      <c r="S201" s="193"/>
      <c r="T201" s="193"/>
      <c r="U201" s="193">
        <v>629145455</v>
      </c>
      <c r="V201" s="193"/>
      <c r="W201" s="194"/>
      <c r="X201" s="194"/>
      <c r="Y201" s="194"/>
      <c r="Z201" s="194"/>
      <c r="AA201" s="194">
        <v>12000000</v>
      </c>
      <c r="AB201" s="194">
        <f t="shared" si="42"/>
        <v>12000000</v>
      </c>
      <c r="AC201" s="195">
        <f t="shared" si="43"/>
        <v>12000000</v>
      </c>
      <c r="AD201" s="196">
        <f t="shared" si="44"/>
        <v>12000000</v>
      </c>
      <c r="AE201" s="195"/>
      <c r="AF201" s="195"/>
      <c r="AG201" s="195"/>
      <c r="AH201" s="193"/>
      <c r="AI201" s="197"/>
      <c r="AJ201" s="198"/>
      <c r="AK201" s="188" t="s">
        <v>250</v>
      </c>
      <c r="AL201" s="181">
        <f>IF(E201&gt;=DATE(2026,4,1),IF(OR($AK201="Khách hàng thông thường",$AK201="Khách hàng chuyển đổi xe xăng"),IFERROR(VLOOKUP($M201,'[1]CSBH THƯỞNG XE'!$U$3:$YY$800,3,0),0),IF($AK201="Khách hàng Khối Quân đội - Công An",IFERROR(VLOOKUP($M201,'[1]CSBH THƯỞNG XE'!$U$3:$X$600,4,0),0),IF($AK201="Khách hàng Giờ trái đất",IFERROR(VLOOKUP($M201,'[1]CSBH THƯỞNG XE'!$U$3:$Y$700,5,0),0),0))),0)</f>
        <v>19000000</v>
      </c>
      <c r="AM201" s="181"/>
      <c r="AN201" s="181"/>
      <c r="AO201" s="182">
        <f t="shared" si="48"/>
        <v>4200000</v>
      </c>
      <c r="AP201" s="182">
        <f t="shared" ref="AP201:AP208" si="53">AO201*100%</f>
        <v>4200000</v>
      </c>
      <c r="AQ201" s="183">
        <f t="shared" ref="AQ201:AQ208" si="54">AP201+AR201+AS201</f>
        <v>4200000</v>
      </c>
      <c r="AR201" s="182">
        <f t="shared" si="49"/>
        <v>0</v>
      </c>
      <c r="AS201" s="182">
        <f t="shared" si="50"/>
        <v>0</v>
      </c>
      <c r="AT201" s="182">
        <v>0</v>
      </c>
      <c r="AU201" s="182">
        <v>0</v>
      </c>
      <c r="AV201" s="199"/>
      <c r="AW201" s="285"/>
      <c r="AX201" s="285"/>
      <c r="AY201" s="266"/>
      <c r="AZ201" s="280"/>
      <c r="BA201" s="281" t="s">
        <v>1981</v>
      </c>
      <c r="BB201" s="282">
        <f>VLOOKUP(H201,[1]NVKD!$C$1:$M$3296,11,0)</f>
        <v>4</v>
      </c>
      <c r="BC201" s="281" t="s">
        <v>1982</v>
      </c>
      <c r="BD201" s="283" t="str">
        <f t="shared" si="51"/>
        <v>Showroom Quang Trung</v>
      </c>
      <c r="BF201" s="284">
        <f t="shared" si="52"/>
        <v>0</v>
      </c>
      <c r="BG201" s="284">
        <f>IFERROR(IF(Y201=0,0, IF(Y201 / VLOOKUP(M201,'[1]CSBH THƯỞNG XE'!$U$3:$AA$1100,7,FALSE) &lt; 0.5,0,MIN((Y201 / VLOOKUP(M201,'[1]CSBH THƯỞNG XE'!$U$3:$AA$1100,7,FALSE)) * 20%,20%))),0)</f>
        <v>0</v>
      </c>
      <c r="BI201" s="287"/>
    </row>
    <row r="202" spans="1:61" s="286" customFormat="1" ht="20.149999999999999" customHeight="1">
      <c r="A202" s="185">
        <v>46135</v>
      </c>
      <c r="B202" s="186">
        <f t="shared" si="45"/>
        <v>23</v>
      </c>
      <c r="C202" s="186">
        <f t="shared" si="46"/>
        <v>4</v>
      </c>
      <c r="D202" s="186">
        <f t="shared" si="47"/>
        <v>2026</v>
      </c>
      <c r="E202" s="185">
        <v>46142</v>
      </c>
      <c r="F202" s="187" t="s">
        <v>1289</v>
      </c>
      <c r="G202" s="188" t="s">
        <v>263</v>
      </c>
      <c r="H202" s="189" t="s">
        <v>461</v>
      </c>
      <c r="I202" s="189" t="s">
        <v>264</v>
      </c>
      <c r="J202" s="189" t="s">
        <v>986</v>
      </c>
      <c r="K202" s="190"/>
      <c r="L202" s="190"/>
      <c r="M202" s="191" t="s">
        <v>114</v>
      </c>
      <c r="N202" s="191" t="s">
        <v>255</v>
      </c>
      <c r="O202" s="188" t="s">
        <v>984</v>
      </c>
      <c r="P202" s="192"/>
      <c r="Q202" s="180">
        <v>1</v>
      </c>
      <c r="R202" s="192" t="s">
        <v>988</v>
      </c>
      <c r="S202" s="193"/>
      <c r="T202" s="193"/>
      <c r="U202" s="193">
        <v>629145455</v>
      </c>
      <c r="V202" s="193"/>
      <c r="W202" s="194"/>
      <c r="X202" s="194"/>
      <c r="Y202" s="194"/>
      <c r="Z202" s="194"/>
      <c r="AA202" s="194">
        <v>12000000</v>
      </c>
      <c r="AB202" s="194">
        <f t="shared" si="42"/>
        <v>12000000</v>
      </c>
      <c r="AC202" s="195">
        <f t="shared" si="43"/>
        <v>12000000</v>
      </c>
      <c r="AD202" s="196">
        <f t="shared" si="44"/>
        <v>12000000</v>
      </c>
      <c r="AE202" s="195"/>
      <c r="AF202" s="195"/>
      <c r="AG202" s="195"/>
      <c r="AH202" s="193"/>
      <c r="AI202" s="197"/>
      <c r="AJ202" s="198"/>
      <c r="AK202" s="188" t="s">
        <v>250</v>
      </c>
      <c r="AL202" s="181">
        <f>IF(E202&gt;=DATE(2026,4,1),IF(OR($AK202="Khách hàng thông thường",$AK202="Khách hàng chuyển đổi xe xăng"),IFERROR(VLOOKUP($M202,'[1]CSBH THƯỞNG XE'!$U$3:$YY$800,3,0),0),IF($AK202="Khách hàng Khối Quân đội - Công An",IFERROR(VLOOKUP($M202,'[1]CSBH THƯỞNG XE'!$U$3:$X$600,4,0),0),IF($AK202="Khách hàng Giờ trái đất",IFERROR(VLOOKUP($M202,'[1]CSBH THƯỞNG XE'!$U$3:$Y$700,5,0),0),0))),0)</f>
        <v>19000000</v>
      </c>
      <c r="AM202" s="181"/>
      <c r="AN202" s="181"/>
      <c r="AO202" s="182">
        <f t="shared" si="48"/>
        <v>4200000</v>
      </c>
      <c r="AP202" s="182">
        <f t="shared" si="53"/>
        <v>4200000</v>
      </c>
      <c r="AQ202" s="183">
        <f t="shared" si="54"/>
        <v>4200000</v>
      </c>
      <c r="AR202" s="182">
        <f t="shared" si="49"/>
        <v>0</v>
      </c>
      <c r="AS202" s="182">
        <f t="shared" si="50"/>
        <v>0</v>
      </c>
      <c r="AT202" s="182">
        <v>0</v>
      </c>
      <c r="AU202" s="182">
        <v>0</v>
      </c>
      <c r="AV202" s="199"/>
      <c r="AW202" s="285"/>
      <c r="AX202" s="285"/>
      <c r="AY202" s="266"/>
      <c r="AZ202" s="280"/>
      <c r="BA202" s="281" t="s">
        <v>1981</v>
      </c>
      <c r="BB202" s="282">
        <f>VLOOKUP(H202,[1]NVKD!$C$1:$M$3296,11,0)</f>
        <v>4</v>
      </c>
      <c r="BC202" s="281" t="s">
        <v>1982</v>
      </c>
      <c r="BD202" s="283" t="str">
        <f t="shared" si="51"/>
        <v>Showroom Quang Trung</v>
      </c>
      <c r="BF202" s="284">
        <f t="shared" si="52"/>
        <v>0</v>
      </c>
      <c r="BG202" s="284">
        <f>IFERROR(IF(Y202=0,0, IF(Y202 / VLOOKUP(M202,'[1]CSBH THƯỞNG XE'!$U$3:$AA$1100,7,FALSE) &lt; 0.5,0,MIN((Y202 / VLOOKUP(M202,'[1]CSBH THƯỞNG XE'!$U$3:$AA$1100,7,FALSE)) * 20%,20%))),0)</f>
        <v>0</v>
      </c>
      <c r="BI202" s="287"/>
    </row>
    <row r="203" spans="1:61" s="286" customFormat="1" ht="20.149999999999999" customHeight="1">
      <c r="A203" s="185">
        <v>46132</v>
      </c>
      <c r="B203" s="186">
        <f t="shared" si="45"/>
        <v>20</v>
      </c>
      <c r="C203" s="186">
        <f t="shared" si="46"/>
        <v>4</v>
      </c>
      <c r="D203" s="186">
        <f t="shared" si="47"/>
        <v>2026</v>
      </c>
      <c r="E203" s="185">
        <v>46142</v>
      </c>
      <c r="F203" s="187" t="s">
        <v>1290</v>
      </c>
      <c r="G203" s="188" t="s">
        <v>263</v>
      </c>
      <c r="H203" s="189" t="s">
        <v>457</v>
      </c>
      <c r="I203" s="189" t="s">
        <v>273</v>
      </c>
      <c r="J203" s="189" t="s">
        <v>989</v>
      </c>
      <c r="K203" s="190"/>
      <c r="L203" s="190"/>
      <c r="M203" s="191" t="s">
        <v>114</v>
      </c>
      <c r="N203" s="191" t="s">
        <v>248</v>
      </c>
      <c r="O203" s="188" t="s">
        <v>148</v>
      </c>
      <c r="P203" s="192"/>
      <c r="Q203" s="180">
        <v>1</v>
      </c>
      <c r="R203" s="192" t="s">
        <v>991</v>
      </c>
      <c r="S203" s="193"/>
      <c r="T203" s="193"/>
      <c r="U203" s="193">
        <v>670000000</v>
      </c>
      <c r="V203" s="193"/>
      <c r="W203" s="194"/>
      <c r="X203" s="194"/>
      <c r="Y203" s="194"/>
      <c r="Z203" s="194"/>
      <c r="AA203" s="194">
        <v>12000000</v>
      </c>
      <c r="AB203" s="194">
        <f t="shared" si="42"/>
        <v>12000000</v>
      </c>
      <c r="AC203" s="195">
        <f t="shared" si="43"/>
        <v>12000000</v>
      </c>
      <c r="AD203" s="196">
        <f t="shared" si="44"/>
        <v>12000000</v>
      </c>
      <c r="AE203" s="195"/>
      <c r="AF203" s="195"/>
      <c r="AG203" s="195"/>
      <c r="AH203" s="193"/>
      <c r="AI203" s="197"/>
      <c r="AJ203" s="198"/>
      <c r="AK203" s="188" t="s">
        <v>250</v>
      </c>
      <c r="AL203" s="181">
        <f>IF(E203&gt;=DATE(2026,4,1),IF(OR($AK203="Khách hàng thông thường",$AK203="Khách hàng chuyển đổi xe xăng"),IFERROR(VLOOKUP($M203,'[1]CSBH THƯỞNG XE'!$U$3:$YY$800,3,0),0),IF($AK203="Khách hàng Khối Quân đội - Công An",IFERROR(VLOOKUP($M203,'[1]CSBH THƯỞNG XE'!$U$3:$X$600,4,0),0),IF($AK203="Khách hàng Giờ trái đất",IFERROR(VLOOKUP($M203,'[1]CSBH THƯỞNG XE'!$U$3:$Y$700,5,0),0),0))),0)</f>
        <v>19000000</v>
      </c>
      <c r="AM203" s="181"/>
      <c r="AN203" s="181"/>
      <c r="AO203" s="182">
        <f t="shared" si="48"/>
        <v>4200000</v>
      </c>
      <c r="AP203" s="182">
        <f t="shared" si="53"/>
        <v>4200000</v>
      </c>
      <c r="AQ203" s="183">
        <f t="shared" si="54"/>
        <v>7200000</v>
      </c>
      <c r="AR203" s="182">
        <f t="shared" si="49"/>
        <v>0</v>
      </c>
      <c r="AS203" s="182">
        <f t="shared" si="50"/>
        <v>3000000</v>
      </c>
      <c r="AT203" s="182">
        <v>4200000</v>
      </c>
      <c r="AU203" s="182">
        <v>0</v>
      </c>
      <c r="AV203" s="199"/>
      <c r="AW203" s="285"/>
      <c r="AX203" s="285"/>
      <c r="AY203" s="266"/>
      <c r="AZ203" s="280"/>
      <c r="BA203" s="281" t="s">
        <v>1983</v>
      </c>
      <c r="BB203" s="282">
        <f>VLOOKUP(H203,[1]NVKD!$C$1:$M$3296,11,0)</f>
        <v>4</v>
      </c>
      <c r="BC203" s="281" t="s">
        <v>1982</v>
      </c>
      <c r="BD203" s="283" t="str">
        <f t="shared" si="51"/>
        <v>Showroom Quang Trung</v>
      </c>
      <c r="BF203" s="284">
        <f t="shared" si="52"/>
        <v>0</v>
      </c>
      <c r="BG203" s="284">
        <f>IFERROR(IF(Y203=0,0, IF(Y203 / VLOOKUP(M203,'[1]CSBH THƯỞNG XE'!$U$3:$AA$1100,7,FALSE) &lt; 0.5,0,MIN((Y203 / VLOOKUP(M203,'[1]CSBH THƯỞNG XE'!$U$3:$AA$1100,7,FALSE)) * 20%,20%))),0)</f>
        <v>0</v>
      </c>
      <c r="BI203" s="287"/>
    </row>
    <row r="204" spans="1:61" s="286" customFormat="1" ht="20.149999999999999" customHeight="1">
      <c r="A204" s="185">
        <v>46141</v>
      </c>
      <c r="B204" s="186">
        <f t="shared" si="45"/>
        <v>29</v>
      </c>
      <c r="C204" s="186">
        <f t="shared" si="46"/>
        <v>4</v>
      </c>
      <c r="D204" s="186">
        <f t="shared" si="47"/>
        <v>2026</v>
      </c>
      <c r="E204" s="185">
        <v>46142</v>
      </c>
      <c r="F204" s="187" t="s">
        <v>1291</v>
      </c>
      <c r="G204" s="188" t="s">
        <v>258</v>
      </c>
      <c r="H204" s="189" t="s">
        <v>144</v>
      </c>
      <c r="I204" s="189" t="s">
        <v>261</v>
      </c>
      <c r="J204" s="189" t="s">
        <v>1292</v>
      </c>
      <c r="K204" s="190"/>
      <c r="L204" s="190"/>
      <c r="M204" s="191" t="s">
        <v>114</v>
      </c>
      <c r="N204" s="191" t="s">
        <v>272</v>
      </c>
      <c r="O204" s="188" t="s">
        <v>114</v>
      </c>
      <c r="P204" s="192"/>
      <c r="Q204" s="180">
        <v>1</v>
      </c>
      <c r="R204" s="192" t="s">
        <v>959</v>
      </c>
      <c r="S204" s="193"/>
      <c r="T204" s="193"/>
      <c r="U204" s="193">
        <v>608718182</v>
      </c>
      <c r="V204" s="193"/>
      <c r="W204" s="194"/>
      <c r="X204" s="194"/>
      <c r="Y204" s="194"/>
      <c r="Z204" s="194"/>
      <c r="AA204" s="194">
        <v>12000000</v>
      </c>
      <c r="AB204" s="194">
        <f t="shared" si="42"/>
        <v>12000000</v>
      </c>
      <c r="AC204" s="195">
        <f t="shared" si="43"/>
        <v>12000000</v>
      </c>
      <c r="AD204" s="196">
        <f t="shared" si="44"/>
        <v>12000000</v>
      </c>
      <c r="AE204" s="195"/>
      <c r="AF204" s="195"/>
      <c r="AG204" s="195"/>
      <c r="AH204" s="193"/>
      <c r="AI204" s="197"/>
      <c r="AJ204" s="198"/>
      <c r="AK204" s="188" t="s">
        <v>250</v>
      </c>
      <c r="AL204" s="181">
        <f>IF(E204&gt;=DATE(2026,4,1),IF(OR($AK204="Khách hàng thông thường",$AK204="Khách hàng chuyển đổi xe xăng"),IFERROR(VLOOKUP($M204,'[1]CSBH THƯỞNG XE'!$U$3:$YY$800,3,0),0),IF($AK204="Khách hàng Khối Quân đội - Công An",IFERROR(VLOOKUP($M204,'[1]CSBH THƯỞNG XE'!$U$3:$X$600,4,0),0),IF($AK204="Khách hàng Giờ trái đất",IFERROR(VLOOKUP($M204,'[1]CSBH THƯỞNG XE'!$U$3:$Y$700,5,0),0),0))),0)</f>
        <v>19000000</v>
      </c>
      <c r="AM204" s="181"/>
      <c r="AN204" s="181"/>
      <c r="AO204" s="182">
        <f t="shared" si="48"/>
        <v>4200000</v>
      </c>
      <c r="AP204" s="182">
        <f t="shared" si="53"/>
        <v>4200000</v>
      </c>
      <c r="AQ204" s="183">
        <f t="shared" si="54"/>
        <v>9200000</v>
      </c>
      <c r="AR204" s="182">
        <f t="shared" si="49"/>
        <v>0</v>
      </c>
      <c r="AS204" s="182">
        <f t="shared" si="50"/>
        <v>5000000</v>
      </c>
      <c r="AT204" s="182">
        <v>0</v>
      </c>
      <c r="AU204" s="182">
        <v>0</v>
      </c>
      <c r="AV204" s="199"/>
      <c r="AW204" s="285"/>
      <c r="AX204" s="285"/>
      <c r="AY204" s="266"/>
      <c r="AZ204" s="280">
        <v>0</v>
      </c>
      <c r="BA204" s="281" t="s">
        <v>1981</v>
      </c>
      <c r="BB204" s="282">
        <f>VLOOKUP(H204,[1]NVKD!$C$1:$M$3296,11,0)</f>
        <v>4</v>
      </c>
      <c r="BC204" s="281" t="s">
        <v>1982</v>
      </c>
      <c r="BD204" s="283" t="str">
        <f t="shared" si="51"/>
        <v>Showroom 50 Nguyễn Văn Tăng</v>
      </c>
      <c r="BF204" s="284">
        <f t="shared" si="52"/>
        <v>0</v>
      </c>
      <c r="BG204" s="284">
        <f>IFERROR(IF(Y204=0,0, IF(Y204 / VLOOKUP(M204,'[1]CSBH THƯỞNG XE'!$U$3:$AA$1100,7,FALSE) &lt; 0.5,0,MIN((Y204 / VLOOKUP(M204,'[1]CSBH THƯỞNG XE'!$U$3:$AA$1100,7,FALSE)) * 20%,20%))),0)</f>
        <v>0</v>
      </c>
      <c r="BI204" s="287"/>
    </row>
    <row r="205" spans="1:61" s="286" customFormat="1" ht="20.149999999999999" customHeight="1">
      <c r="A205" s="185">
        <v>46142</v>
      </c>
      <c r="B205" s="186">
        <f t="shared" si="45"/>
        <v>30</v>
      </c>
      <c r="C205" s="186">
        <f t="shared" si="46"/>
        <v>4</v>
      </c>
      <c r="D205" s="186">
        <f t="shared" si="47"/>
        <v>2026</v>
      </c>
      <c r="E205" s="185">
        <v>46142</v>
      </c>
      <c r="F205" s="187" t="s">
        <v>1293</v>
      </c>
      <c r="G205" s="188" t="s">
        <v>263</v>
      </c>
      <c r="H205" s="189" t="s">
        <v>992</v>
      </c>
      <c r="I205" s="189" t="s">
        <v>273</v>
      </c>
      <c r="J205" s="189" t="s">
        <v>996</v>
      </c>
      <c r="K205" s="190"/>
      <c r="L205" s="190"/>
      <c r="M205" s="191" t="s">
        <v>257</v>
      </c>
      <c r="N205" s="191" t="s">
        <v>255</v>
      </c>
      <c r="O205" s="188" t="s">
        <v>168</v>
      </c>
      <c r="P205" s="192"/>
      <c r="Q205" s="180">
        <v>1</v>
      </c>
      <c r="R205" s="192" t="s">
        <v>998</v>
      </c>
      <c r="S205" s="193"/>
      <c r="T205" s="193"/>
      <c r="U205" s="193">
        <v>677536364</v>
      </c>
      <c r="V205" s="193"/>
      <c r="W205" s="194"/>
      <c r="X205" s="194"/>
      <c r="Y205" s="194"/>
      <c r="Z205" s="194"/>
      <c r="AA205" s="194">
        <v>0</v>
      </c>
      <c r="AB205" s="194">
        <f t="shared" si="42"/>
        <v>0</v>
      </c>
      <c r="AC205" s="195">
        <f t="shared" si="43"/>
        <v>0</v>
      </c>
      <c r="AD205" s="196">
        <f t="shared" si="44"/>
        <v>0</v>
      </c>
      <c r="AE205" s="195"/>
      <c r="AF205" s="195"/>
      <c r="AG205" s="195"/>
      <c r="AH205" s="193"/>
      <c r="AI205" s="197"/>
      <c r="AJ205" s="198"/>
      <c r="AK205" s="188" t="s">
        <v>250</v>
      </c>
      <c r="AL205" s="181">
        <f>IF(E205&gt;=DATE(2026,4,1),IF(OR($AK205="Khách hàng thông thường",$AK205="Khách hàng chuyển đổi xe xăng"),IFERROR(VLOOKUP($M205,'[1]CSBH THƯỞNG XE'!$U$3:$YY$800,3,0),0),IF($AK205="Khách hàng Khối Quân đội - Công An",IFERROR(VLOOKUP($M205,'[1]CSBH THƯỞNG XE'!$U$3:$X$600,4,0),0),IF($AK205="Khách hàng Giờ trái đất",IFERROR(VLOOKUP($M205,'[1]CSBH THƯỞNG XE'!$U$3:$Y$700,5,0),0),0))),0)</f>
        <v>20000000</v>
      </c>
      <c r="AM205" s="181"/>
      <c r="AN205" s="181"/>
      <c r="AO205" s="182">
        <f t="shared" si="48"/>
        <v>16000000</v>
      </c>
      <c r="AP205" s="182">
        <f t="shared" si="53"/>
        <v>16000000</v>
      </c>
      <c r="AQ205" s="183">
        <f t="shared" si="54"/>
        <v>16000000</v>
      </c>
      <c r="AR205" s="182">
        <f t="shared" si="49"/>
        <v>0</v>
      </c>
      <c r="AS205" s="182">
        <f t="shared" si="50"/>
        <v>0</v>
      </c>
      <c r="AT205" s="182">
        <v>12000000</v>
      </c>
      <c r="AU205" s="182">
        <v>0</v>
      </c>
      <c r="AV205" s="199"/>
      <c r="AW205" s="285"/>
      <c r="AX205" s="285"/>
      <c r="AY205" s="266"/>
      <c r="AZ205" s="280">
        <v>0</v>
      </c>
      <c r="BA205" s="281" t="s">
        <v>1981</v>
      </c>
      <c r="BB205" s="282">
        <f>VLOOKUP(H205,[1]NVKD!$C$1:$M$3296,11,0)</f>
        <v>2</v>
      </c>
      <c r="BC205" s="281" t="s">
        <v>1984</v>
      </c>
      <c r="BD205" s="283" t="str">
        <f t="shared" si="51"/>
        <v>Showroom Quang Trung</v>
      </c>
      <c r="BF205" s="284">
        <f t="shared" si="52"/>
        <v>0.2</v>
      </c>
      <c r="BG205" s="284">
        <f>IFERROR(IF(Y205=0,0, IF(Y205 / VLOOKUP(M205,'[1]CSBH THƯỞNG XE'!$U$3:$AA$1100,7,FALSE) &lt; 0.5,0,MIN((Y205 / VLOOKUP(M205,'[1]CSBH THƯỞNG XE'!$U$3:$AA$1100,7,FALSE)) * 20%,20%))),0)</f>
        <v>0</v>
      </c>
      <c r="BI205" s="287"/>
    </row>
    <row r="206" spans="1:61" s="286" customFormat="1" ht="20.149999999999999" customHeight="1">
      <c r="A206" s="185">
        <v>46135</v>
      </c>
      <c r="B206" s="186">
        <f t="shared" si="45"/>
        <v>23</v>
      </c>
      <c r="C206" s="186">
        <f t="shared" si="46"/>
        <v>4</v>
      </c>
      <c r="D206" s="186">
        <f t="shared" si="47"/>
        <v>2026</v>
      </c>
      <c r="E206" s="185">
        <v>46142</v>
      </c>
      <c r="F206" s="187" t="s">
        <v>1294</v>
      </c>
      <c r="G206" s="188" t="s">
        <v>263</v>
      </c>
      <c r="H206" s="189" t="s">
        <v>151</v>
      </c>
      <c r="I206" s="189" t="s">
        <v>264</v>
      </c>
      <c r="J206" s="189" t="s">
        <v>999</v>
      </c>
      <c r="K206" s="190"/>
      <c r="L206" s="190"/>
      <c r="M206" s="191" t="s">
        <v>114</v>
      </c>
      <c r="N206" s="191" t="s">
        <v>255</v>
      </c>
      <c r="O206" s="188" t="s">
        <v>984</v>
      </c>
      <c r="P206" s="192"/>
      <c r="Q206" s="180">
        <v>1</v>
      </c>
      <c r="R206" s="192" t="s">
        <v>1001</v>
      </c>
      <c r="S206" s="193"/>
      <c r="T206" s="193"/>
      <c r="U206" s="193">
        <v>629145455</v>
      </c>
      <c r="V206" s="193"/>
      <c r="W206" s="194"/>
      <c r="X206" s="194"/>
      <c r="Y206" s="194"/>
      <c r="Z206" s="194"/>
      <c r="AA206" s="194">
        <v>12000000</v>
      </c>
      <c r="AB206" s="194">
        <f t="shared" si="42"/>
        <v>12000000</v>
      </c>
      <c r="AC206" s="195">
        <f t="shared" si="43"/>
        <v>12000000</v>
      </c>
      <c r="AD206" s="196">
        <f t="shared" si="44"/>
        <v>12000000</v>
      </c>
      <c r="AE206" s="195"/>
      <c r="AF206" s="195"/>
      <c r="AG206" s="195"/>
      <c r="AH206" s="193"/>
      <c r="AI206" s="197"/>
      <c r="AJ206" s="198"/>
      <c r="AK206" s="188" t="s">
        <v>250</v>
      </c>
      <c r="AL206" s="181">
        <f>IF(E206&gt;=DATE(2026,4,1),IF(OR($AK206="Khách hàng thông thường",$AK206="Khách hàng chuyển đổi xe xăng"),IFERROR(VLOOKUP($M206,'[1]CSBH THƯỞNG XE'!$U$3:$YY$800,3,0),0),IF($AK206="Khách hàng Khối Quân đội - Công An",IFERROR(VLOOKUP($M206,'[1]CSBH THƯỞNG XE'!$U$3:$X$600,4,0),0),IF($AK206="Khách hàng Giờ trái đất",IFERROR(VLOOKUP($M206,'[1]CSBH THƯỞNG XE'!$U$3:$Y$700,5,0),0),0))),0)</f>
        <v>19000000</v>
      </c>
      <c r="AM206" s="181"/>
      <c r="AN206" s="181"/>
      <c r="AO206" s="182">
        <f t="shared" si="48"/>
        <v>4200000</v>
      </c>
      <c r="AP206" s="182">
        <f t="shared" si="53"/>
        <v>4200000</v>
      </c>
      <c r="AQ206" s="183">
        <f t="shared" si="54"/>
        <v>4200000</v>
      </c>
      <c r="AR206" s="182">
        <f t="shared" si="49"/>
        <v>0</v>
      </c>
      <c r="AS206" s="182">
        <f t="shared" si="50"/>
        <v>0</v>
      </c>
      <c r="AT206" s="182">
        <v>0</v>
      </c>
      <c r="AU206" s="182">
        <v>0</v>
      </c>
      <c r="AV206" s="199"/>
      <c r="AW206" s="285"/>
      <c r="AX206" s="285"/>
      <c r="AY206" s="266"/>
      <c r="AZ206" s="280"/>
      <c r="BA206" s="281" t="s">
        <v>1981</v>
      </c>
      <c r="BB206" s="282">
        <f>VLOOKUP(H206,[1]NVKD!$C$1:$M$3296,11,0)</f>
        <v>5</v>
      </c>
      <c r="BC206" s="281" t="s">
        <v>1982</v>
      </c>
      <c r="BD206" s="283" t="str">
        <f t="shared" si="51"/>
        <v>Showroom Quang Trung</v>
      </c>
      <c r="BF206" s="284">
        <f t="shared" si="52"/>
        <v>0</v>
      </c>
      <c r="BG206" s="284">
        <f>IFERROR(IF(Y206=0,0, IF(Y206 / VLOOKUP(M206,'[1]CSBH THƯỞNG XE'!$U$3:$AA$1100,7,FALSE) &lt; 0.5,0,MIN((Y206 / VLOOKUP(M206,'[1]CSBH THƯỞNG XE'!$U$3:$AA$1100,7,FALSE)) * 20%,20%))),0)</f>
        <v>0</v>
      </c>
      <c r="BI206" s="287"/>
    </row>
    <row r="207" spans="1:61" s="286" customFormat="1" ht="20.149999999999999" customHeight="1">
      <c r="A207" s="185">
        <v>46142</v>
      </c>
      <c r="B207" s="186">
        <f t="shared" si="45"/>
        <v>30</v>
      </c>
      <c r="C207" s="186">
        <f t="shared" si="46"/>
        <v>4</v>
      </c>
      <c r="D207" s="186">
        <f t="shared" si="47"/>
        <v>2026</v>
      </c>
      <c r="E207" s="185">
        <v>46142</v>
      </c>
      <c r="F207" s="187" t="s">
        <v>1295</v>
      </c>
      <c r="G207" s="188" t="s">
        <v>258</v>
      </c>
      <c r="H207" s="189" t="s">
        <v>189</v>
      </c>
      <c r="I207" s="189" t="s">
        <v>259</v>
      </c>
      <c r="J207" s="189" t="s">
        <v>1296</v>
      </c>
      <c r="K207" s="190"/>
      <c r="L207" s="190"/>
      <c r="M207" s="191" t="s">
        <v>257</v>
      </c>
      <c r="N207" s="191" t="s">
        <v>262</v>
      </c>
      <c r="O207" s="188" t="s">
        <v>53</v>
      </c>
      <c r="P207" s="192"/>
      <c r="Q207" s="180">
        <v>1</v>
      </c>
      <c r="R207" s="192" t="s">
        <v>962</v>
      </c>
      <c r="S207" s="193"/>
      <c r="T207" s="193"/>
      <c r="U207" s="193">
        <v>670897364</v>
      </c>
      <c r="V207" s="193"/>
      <c r="W207" s="194"/>
      <c r="X207" s="194"/>
      <c r="Y207" s="194"/>
      <c r="Z207" s="194"/>
      <c r="AA207" s="194">
        <v>0</v>
      </c>
      <c r="AB207" s="194">
        <f t="shared" si="42"/>
        <v>0</v>
      </c>
      <c r="AC207" s="195">
        <f t="shared" si="43"/>
        <v>0</v>
      </c>
      <c r="AD207" s="196">
        <f t="shared" si="44"/>
        <v>0</v>
      </c>
      <c r="AE207" s="195"/>
      <c r="AF207" s="195"/>
      <c r="AG207" s="195"/>
      <c r="AH207" s="193"/>
      <c r="AI207" s="197"/>
      <c r="AJ207" s="198"/>
      <c r="AK207" s="188" t="s">
        <v>250</v>
      </c>
      <c r="AL207" s="181">
        <f>IF(E207&gt;=DATE(2026,4,1),IF(OR($AK207="Khách hàng thông thường",$AK207="Khách hàng chuyển đổi xe xăng"),IFERROR(VLOOKUP($M207,'[1]CSBH THƯỞNG XE'!$U$3:$YY$800,3,0),0),IF($AK207="Khách hàng Khối Quân đội - Công An",IFERROR(VLOOKUP($M207,'[1]CSBH THƯỞNG XE'!$U$3:$X$600,4,0),0),IF($AK207="Khách hàng Giờ trái đất",IFERROR(VLOOKUP($M207,'[1]CSBH THƯỞNG XE'!$U$3:$Y$700,5,0),0),0))),0)</f>
        <v>20000000</v>
      </c>
      <c r="AM207" s="181"/>
      <c r="AN207" s="181"/>
      <c r="AO207" s="182">
        <f t="shared" si="48"/>
        <v>16000000</v>
      </c>
      <c r="AP207" s="182">
        <f t="shared" si="53"/>
        <v>16000000</v>
      </c>
      <c r="AQ207" s="183">
        <f t="shared" si="54"/>
        <v>16000000</v>
      </c>
      <c r="AR207" s="182">
        <f t="shared" si="49"/>
        <v>0</v>
      </c>
      <c r="AS207" s="182">
        <f t="shared" si="50"/>
        <v>0</v>
      </c>
      <c r="AT207" s="182">
        <v>0</v>
      </c>
      <c r="AU207" s="182">
        <v>0</v>
      </c>
      <c r="AV207" s="199"/>
      <c r="AW207" s="285"/>
      <c r="AX207" s="285"/>
      <c r="AY207" s="266"/>
      <c r="AZ207" s="280">
        <v>0</v>
      </c>
      <c r="BA207" s="281" t="s">
        <v>1981</v>
      </c>
      <c r="BB207" s="282">
        <f>VLOOKUP(H207,[1]NVKD!$C$1:$M$3296,11,0)</f>
        <v>4</v>
      </c>
      <c r="BC207" s="281" t="s">
        <v>1984</v>
      </c>
      <c r="BD207" s="283" t="str">
        <f t="shared" si="51"/>
        <v>Showroom 50 Nguyễn Văn Tăng</v>
      </c>
      <c r="BF207" s="284">
        <f t="shared" si="52"/>
        <v>0.2</v>
      </c>
      <c r="BG207" s="284">
        <f>IFERROR(IF(Y207=0,0, IF(Y207 / VLOOKUP(M207,'[1]CSBH THƯỞNG XE'!$U$3:$AA$1100,7,FALSE) &lt; 0.5,0,MIN((Y207 / VLOOKUP(M207,'[1]CSBH THƯỞNG XE'!$U$3:$AA$1100,7,FALSE)) * 20%,20%))),0)</f>
        <v>0</v>
      </c>
      <c r="BI207" s="287"/>
    </row>
    <row r="208" spans="1:61" s="286" customFormat="1" ht="20.149999999999999" customHeight="1">
      <c r="A208" s="185">
        <v>46142</v>
      </c>
      <c r="B208" s="186">
        <f t="shared" si="45"/>
        <v>30</v>
      </c>
      <c r="C208" s="186">
        <f t="shared" si="46"/>
        <v>4</v>
      </c>
      <c r="D208" s="186">
        <f t="shared" si="47"/>
        <v>2026</v>
      </c>
      <c r="E208" s="185">
        <v>46142</v>
      </c>
      <c r="F208" s="187" t="s">
        <v>1297</v>
      </c>
      <c r="G208" s="188" t="s">
        <v>246</v>
      </c>
      <c r="H208" s="189" t="s">
        <v>136</v>
      </c>
      <c r="I208" s="189" t="s">
        <v>247</v>
      </c>
      <c r="J208" s="189" t="s">
        <v>927</v>
      </c>
      <c r="K208" s="190"/>
      <c r="L208" s="190"/>
      <c r="M208" s="191" t="s">
        <v>55</v>
      </c>
      <c r="N208" s="191" t="s">
        <v>255</v>
      </c>
      <c r="O208" s="188" t="s">
        <v>134</v>
      </c>
      <c r="P208" s="192"/>
      <c r="Q208" s="180">
        <v>1</v>
      </c>
      <c r="R208" s="192" t="s">
        <v>929</v>
      </c>
      <c r="S208" s="193"/>
      <c r="T208" s="193"/>
      <c r="U208" s="193">
        <v>252618182</v>
      </c>
      <c r="V208" s="193"/>
      <c r="W208" s="194"/>
      <c r="X208" s="194"/>
      <c r="Y208" s="194"/>
      <c r="Z208" s="194"/>
      <c r="AA208" s="194">
        <v>6000000</v>
      </c>
      <c r="AB208" s="194">
        <f t="shared" si="42"/>
        <v>6000000</v>
      </c>
      <c r="AC208" s="195">
        <f t="shared" si="43"/>
        <v>6000000</v>
      </c>
      <c r="AD208" s="196">
        <f t="shared" si="44"/>
        <v>6000000</v>
      </c>
      <c r="AE208" s="195"/>
      <c r="AF208" s="195"/>
      <c r="AG208" s="195"/>
      <c r="AH208" s="193"/>
      <c r="AI208" s="197"/>
      <c r="AJ208" s="198"/>
      <c r="AK208" s="188" t="s">
        <v>250</v>
      </c>
      <c r="AL208" s="181">
        <f>IF(E208&gt;=DATE(2026,4,1),IF(OR($AK208="Khách hàng thông thường",$AK208="Khách hàng chuyển đổi xe xăng"),IFERROR(VLOOKUP($M208,'[1]CSBH THƯỞNG XE'!$U$3:$YY$800,3,0),0),IF($AK208="Khách hàng Khối Quân đội - Công An",IFERROR(VLOOKUP($M208,'[1]CSBH THƯỞNG XE'!$U$3:$X$600,4,0),0),IF($AK208="Khách hàng Giờ trái đất",IFERROR(VLOOKUP($M208,'[1]CSBH THƯỞNG XE'!$U$3:$Y$700,5,0),0),0))),0)</f>
        <v>8000000</v>
      </c>
      <c r="AM208" s="181"/>
      <c r="AN208" s="181"/>
      <c r="AO208" s="182">
        <f t="shared" si="48"/>
        <v>1200000</v>
      </c>
      <c r="AP208" s="182">
        <f t="shared" si="53"/>
        <v>1200000</v>
      </c>
      <c r="AQ208" s="183">
        <f t="shared" si="54"/>
        <v>1200000</v>
      </c>
      <c r="AR208" s="182">
        <f t="shared" si="49"/>
        <v>0</v>
      </c>
      <c r="AS208" s="182">
        <f t="shared" si="50"/>
        <v>0</v>
      </c>
      <c r="AT208" s="182">
        <v>0</v>
      </c>
      <c r="AU208" s="182">
        <v>0</v>
      </c>
      <c r="AV208" s="199"/>
      <c r="AW208" s="285"/>
      <c r="AX208" s="285"/>
      <c r="AY208" s="266"/>
      <c r="AZ208" s="280">
        <v>0</v>
      </c>
      <c r="BA208" s="281" t="s">
        <v>1981</v>
      </c>
      <c r="BB208" s="282">
        <f>VLOOKUP(H208,[1]NVKD!$C$1:$M$3296,11,0)</f>
        <v>1</v>
      </c>
      <c r="BC208" s="281" t="s">
        <v>1982</v>
      </c>
      <c r="BD208" s="283" t="str">
        <f t="shared" si="51"/>
        <v>Showroom Bến Lức</v>
      </c>
      <c r="BF208" s="284">
        <f t="shared" si="52"/>
        <v>0</v>
      </c>
      <c r="BG208" s="284">
        <f>IFERROR(IF(Y208=0,0, IF(Y208 / VLOOKUP(M208,'[1]CSBH THƯỞNG XE'!$U$3:$AA$1100,7,FALSE) &lt; 0.5,0,MIN((Y208 / VLOOKUP(M208,'[1]CSBH THƯỞNG XE'!$U$3:$AA$1100,7,FALSE)) * 20%,20%))),0)</f>
        <v>0</v>
      </c>
      <c r="BI208" s="287"/>
    </row>
  </sheetData>
  <autoFilter ref="A3:AW203" xr:uid="{390E00C0-F4B5-4FC4-8862-A16020F9A145}"/>
  <mergeCells count="2">
    <mergeCell ref="F4:AN4"/>
    <mergeCell ref="F5:AN5"/>
  </mergeCells>
  <conditionalFormatting sqref="F1:F27 F29:F1048576">
    <cfRule type="duplicateValues" dxfId="11" priority="8"/>
  </conditionalFormatting>
  <conditionalFormatting sqref="F8:F27 F29:F208">
    <cfRule type="duplicateValues" dxfId="10" priority="9"/>
  </conditionalFormatting>
  <conditionalFormatting sqref="F28">
    <cfRule type="duplicateValues" dxfId="9" priority="1"/>
    <cfRule type="duplicateValues" dxfId="8" priority="2"/>
  </conditionalFormatting>
  <conditionalFormatting sqref="F209:F1048576 F1:F7">
    <cfRule type="duplicateValues" dxfId="7" priority="6"/>
  </conditionalFormatting>
  <conditionalFormatting sqref="J8:J27 J29:J208">
    <cfRule type="duplicateValues" dxfId="6" priority="11"/>
    <cfRule type="duplicateValues" dxfId="5" priority="12"/>
  </conditionalFormatting>
  <conditionalFormatting sqref="J28">
    <cfRule type="duplicateValues" dxfId="4" priority="4"/>
    <cfRule type="duplicateValues" dxfId="3" priority="5"/>
  </conditionalFormatting>
  <conditionalFormatting sqref="R8:R27 R29:R208">
    <cfRule type="duplicateValues" dxfId="2" priority="10"/>
  </conditionalFormatting>
  <conditionalFormatting sqref="R28">
    <cfRule type="duplicateValues" dxfId="1" priority="3"/>
  </conditionalFormatting>
  <conditionalFormatting sqref="R209:R1048576 R1:R7">
    <cfRule type="duplicateValues" dxfId="0" priority="7"/>
  </conditionalFormatting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5BFAC-7815-48DB-8D6D-96CB90C73633}">
  <dimension ref="A1:AE34"/>
  <sheetViews>
    <sheetView tabSelected="1" topLeftCell="S26" workbookViewId="0">
      <selection activeCell="W4" sqref="W4"/>
    </sheetView>
  </sheetViews>
  <sheetFormatPr defaultColWidth="12.453125" defaultRowHeight="14"/>
  <cols>
    <col min="1" max="1" width="0" style="219" hidden="1" customWidth="1"/>
    <col min="2" max="2" width="19.1796875" style="219" hidden="1" customWidth="1"/>
    <col min="3" max="3" width="14.26953125" style="219" hidden="1" customWidth="1"/>
    <col min="4" max="4" width="0" style="219" hidden="1" customWidth="1"/>
    <col min="5" max="5" width="14.1796875" style="219" hidden="1" customWidth="1"/>
    <col min="6" max="8" width="0" style="219" hidden="1" customWidth="1"/>
    <col min="9" max="9" width="19.1796875" style="219" hidden="1" customWidth="1"/>
    <col min="10" max="10" width="14.26953125" style="219" hidden="1" customWidth="1"/>
    <col min="11" max="11" width="0" style="219" hidden="1" customWidth="1"/>
    <col min="12" max="12" width="20.26953125" style="219" hidden="1" customWidth="1"/>
    <col min="13" max="13" width="0" style="219" hidden="1" customWidth="1"/>
    <col min="14" max="14" width="0" style="216" hidden="1" customWidth="1"/>
    <col min="15" max="16" width="15.81640625" style="227" hidden="1" customWidth="1"/>
    <col min="17" max="18" width="0" style="219" hidden="1" customWidth="1"/>
    <col min="19" max="20" width="12.453125" style="219"/>
    <col min="21" max="21" width="19.1796875" style="219" bestFit="1" customWidth="1"/>
    <col min="22" max="22" width="14.26953125" style="219" bestFit="1" customWidth="1"/>
    <col min="23" max="23" width="17.1796875" style="219" customWidth="1"/>
    <col min="24" max="25" width="20.26953125" style="219" customWidth="1"/>
    <col min="26" max="26" width="14.54296875" style="219" customWidth="1"/>
    <col min="27" max="27" width="12.453125" style="216"/>
    <col min="28" max="29" width="15.81640625" style="227" hidden="1" customWidth="1"/>
    <col min="30" max="34" width="0" style="219" hidden="1" customWidth="1"/>
    <col min="35" max="16384" width="12.453125" style="219"/>
  </cols>
  <sheetData>
    <row r="1" spans="1:31" s="215" customFormat="1">
      <c r="A1" s="215" t="s">
        <v>1933</v>
      </c>
      <c r="H1" s="215" t="s">
        <v>1934</v>
      </c>
      <c r="N1" s="216"/>
      <c r="O1" s="217"/>
      <c r="P1" s="217"/>
      <c r="T1" s="215" t="s">
        <v>1935</v>
      </c>
      <c r="AA1" s="216"/>
      <c r="AB1" s="217"/>
      <c r="AC1" s="217"/>
    </row>
    <row r="2" spans="1:31" ht="112">
      <c r="A2" s="218" t="s">
        <v>1936</v>
      </c>
      <c r="B2" s="218" t="s">
        <v>1937</v>
      </c>
      <c r="C2" s="218" t="s">
        <v>1938</v>
      </c>
      <c r="D2" s="218" t="s">
        <v>1939</v>
      </c>
      <c r="E2" s="218" t="s">
        <v>1940</v>
      </c>
      <c r="F2" s="218" t="s">
        <v>1941</v>
      </c>
      <c r="H2" s="218" t="s">
        <v>1936</v>
      </c>
      <c r="I2" s="218" t="s">
        <v>1937</v>
      </c>
      <c r="J2" s="218" t="s">
        <v>1938</v>
      </c>
      <c r="K2" s="218" t="s">
        <v>1939</v>
      </c>
      <c r="L2" s="218" t="s">
        <v>1940</v>
      </c>
      <c r="M2" s="218" t="s">
        <v>1941</v>
      </c>
      <c r="N2" s="220" t="s">
        <v>1942</v>
      </c>
      <c r="O2" s="221" t="s">
        <v>1943</v>
      </c>
      <c r="P2" s="221" t="s">
        <v>1944</v>
      </c>
      <c r="Q2" s="221" t="s">
        <v>1945</v>
      </c>
      <c r="R2" s="222" t="s">
        <v>1946</v>
      </c>
      <c r="T2" s="218" t="s">
        <v>1936</v>
      </c>
      <c r="U2" s="218" t="s">
        <v>1937</v>
      </c>
      <c r="V2" s="218" t="s">
        <v>1938</v>
      </c>
      <c r="W2" s="218" t="s">
        <v>1947</v>
      </c>
      <c r="X2" s="218" t="s">
        <v>1948</v>
      </c>
      <c r="Y2" s="218" t="s">
        <v>1949</v>
      </c>
      <c r="Z2" s="218" t="s">
        <v>1941</v>
      </c>
      <c r="AA2" s="220" t="s">
        <v>1942</v>
      </c>
      <c r="AB2" s="221" t="s">
        <v>1943</v>
      </c>
      <c r="AC2" s="221" t="s">
        <v>1944</v>
      </c>
      <c r="AD2" s="221" t="s">
        <v>1945</v>
      </c>
      <c r="AE2" s="222" t="s">
        <v>1946</v>
      </c>
    </row>
    <row r="3" spans="1:31">
      <c r="A3" s="321" t="s">
        <v>1950</v>
      </c>
      <c r="B3" s="30" t="s">
        <v>125</v>
      </c>
      <c r="C3" s="223"/>
      <c r="D3" s="223">
        <v>7500000</v>
      </c>
      <c r="E3" s="223">
        <v>3500000</v>
      </c>
      <c r="F3" s="223">
        <v>300000</v>
      </c>
      <c r="H3" s="321" t="s">
        <v>1950</v>
      </c>
      <c r="I3" s="30" t="s">
        <v>125</v>
      </c>
      <c r="J3" s="223"/>
      <c r="K3" s="223">
        <v>7500000</v>
      </c>
      <c r="L3" s="223">
        <v>3500000</v>
      </c>
      <c r="M3" s="223">
        <v>300000</v>
      </c>
      <c r="N3" s="224">
        <v>2800000</v>
      </c>
      <c r="O3" s="225"/>
      <c r="P3" s="225"/>
      <c r="Q3" s="225">
        <v>5000000</v>
      </c>
      <c r="R3" s="226">
        <f>25%*Q3</f>
        <v>1250000</v>
      </c>
      <c r="T3" s="321" t="s">
        <v>1950</v>
      </c>
      <c r="U3" s="30" t="s">
        <v>125</v>
      </c>
      <c r="V3" s="223"/>
      <c r="W3" s="223">
        <v>7500000</v>
      </c>
      <c r="X3" s="223">
        <f>W3*50%</f>
        <v>3750000</v>
      </c>
      <c r="Y3" s="223">
        <f>W3*75%</f>
        <v>5625000</v>
      </c>
      <c r="Z3" s="223">
        <v>300000</v>
      </c>
      <c r="AA3" s="224">
        <v>2458889</v>
      </c>
      <c r="AB3" s="225"/>
      <c r="AC3" s="225"/>
      <c r="AD3" s="225"/>
      <c r="AE3" s="226">
        <f>25%*AD3</f>
        <v>0</v>
      </c>
    </row>
    <row r="4" spans="1:31">
      <c r="A4" s="322"/>
      <c r="B4" s="30" t="s">
        <v>127</v>
      </c>
      <c r="C4" s="223"/>
      <c r="D4" s="223">
        <v>6500000</v>
      </c>
      <c r="E4" s="223">
        <v>3000000</v>
      </c>
      <c r="F4" s="223">
        <v>300000</v>
      </c>
      <c r="H4" s="322"/>
      <c r="I4" s="30" t="s">
        <v>127</v>
      </c>
      <c r="J4" s="223"/>
      <c r="K4" s="223">
        <v>6500000</v>
      </c>
      <c r="L4" s="223">
        <v>3000000</v>
      </c>
      <c r="M4" s="223">
        <v>300000</v>
      </c>
      <c r="N4" s="224">
        <v>2800000</v>
      </c>
      <c r="O4" s="225"/>
      <c r="P4" s="225"/>
      <c r="Q4" s="225">
        <v>5000000</v>
      </c>
      <c r="R4" s="226">
        <f t="shared" ref="R4:R21" si="0">25%*Q4</f>
        <v>1250000</v>
      </c>
      <c r="T4" s="322"/>
      <c r="U4" s="30" t="s">
        <v>127</v>
      </c>
      <c r="V4" s="223"/>
      <c r="W4" s="223">
        <v>6500000</v>
      </c>
      <c r="X4" s="223">
        <f t="shared" ref="X4:X20" si="1">W4*50%</f>
        <v>3250000</v>
      </c>
      <c r="Y4" s="223">
        <f t="shared" ref="Y4:Y20" si="2">W4*75%</f>
        <v>4875000</v>
      </c>
      <c r="Z4" s="223">
        <v>300000</v>
      </c>
      <c r="AA4" s="224">
        <v>2458889</v>
      </c>
      <c r="AB4" s="225"/>
      <c r="AC4" s="225"/>
      <c r="AD4" s="225"/>
      <c r="AE4" s="226">
        <f t="shared" ref="AE4:AE21" si="3">25%*AD4</f>
        <v>0</v>
      </c>
    </row>
    <row r="5" spans="1:31">
      <c r="A5" s="322"/>
      <c r="B5" s="30" t="s">
        <v>1951</v>
      </c>
      <c r="C5" s="223"/>
      <c r="D5" s="223">
        <v>12000000</v>
      </c>
      <c r="E5" s="223">
        <v>6000000</v>
      </c>
      <c r="F5" s="223">
        <v>500000</v>
      </c>
      <c r="H5" s="322"/>
      <c r="I5" s="30" t="s">
        <v>1951</v>
      </c>
      <c r="J5" s="223"/>
      <c r="K5" s="223">
        <v>12000000</v>
      </c>
      <c r="L5" s="223">
        <v>6000000</v>
      </c>
      <c r="M5" s="223">
        <v>500000</v>
      </c>
      <c r="N5" s="224">
        <v>4500000</v>
      </c>
      <c r="O5" s="225">
        <v>4940636</v>
      </c>
      <c r="P5" s="225">
        <v>6078510</v>
      </c>
      <c r="Q5" s="225"/>
      <c r="R5" s="226">
        <f t="shared" si="0"/>
        <v>0</v>
      </c>
      <c r="T5" s="322"/>
      <c r="U5" s="30" t="s">
        <v>1951</v>
      </c>
      <c r="V5" s="223"/>
      <c r="W5" s="223">
        <v>12000000</v>
      </c>
      <c r="X5" s="223">
        <f t="shared" si="1"/>
        <v>6000000</v>
      </c>
      <c r="Y5" s="223">
        <f t="shared" si="2"/>
        <v>9000000</v>
      </c>
      <c r="Z5" s="223">
        <v>500000</v>
      </c>
      <c r="AA5" s="224">
        <v>2458889</v>
      </c>
      <c r="AB5" s="225"/>
      <c r="AC5" s="225"/>
      <c r="AD5" s="225"/>
      <c r="AE5" s="226">
        <f t="shared" si="3"/>
        <v>0</v>
      </c>
    </row>
    <row r="6" spans="1:31">
      <c r="A6" s="322"/>
      <c r="B6" s="30" t="s">
        <v>1952</v>
      </c>
      <c r="C6" s="223"/>
      <c r="D6" s="223">
        <v>16000000</v>
      </c>
      <c r="E6" s="223">
        <v>8000000</v>
      </c>
      <c r="F6" s="223">
        <v>800000</v>
      </c>
      <c r="H6" s="322"/>
      <c r="I6" s="30" t="s">
        <v>1952</v>
      </c>
      <c r="J6" s="223"/>
      <c r="K6" s="223">
        <v>16000000</v>
      </c>
      <c r="L6" s="223">
        <v>8000000</v>
      </c>
      <c r="M6" s="223">
        <v>800000</v>
      </c>
      <c r="N6" s="224">
        <v>5000000</v>
      </c>
      <c r="O6" s="225"/>
      <c r="P6" s="225"/>
      <c r="Q6" s="225"/>
      <c r="R6" s="226">
        <f t="shared" si="0"/>
        <v>0</v>
      </c>
      <c r="T6" s="322"/>
      <c r="U6" s="30" t="s">
        <v>1952</v>
      </c>
      <c r="V6" s="223"/>
      <c r="W6" s="223">
        <v>16000000</v>
      </c>
      <c r="X6" s="223">
        <f t="shared" si="1"/>
        <v>8000000</v>
      </c>
      <c r="Y6" s="223">
        <f t="shared" si="2"/>
        <v>12000000</v>
      </c>
      <c r="Z6" s="223">
        <v>800000</v>
      </c>
      <c r="AA6" s="224">
        <v>2458889</v>
      </c>
      <c r="AB6" s="225"/>
      <c r="AC6" s="225"/>
      <c r="AD6" s="225"/>
      <c r="AE6" s="226">
        <f t="shared" si="3"/>
        <v>0</v>
      </c>
    </row>
    <row r="7" spans="1:31">
      <c r="A7" s="322"/>
      <c r="B7" s="30" t="s">
        <v>114</v>
      </c>
      <c r="C7" s="223"/>
      <c r="D7" s="223">
        <v>18000000</v>
      </c>
      <c r="E7" s="223">
        <v>9000000</v>
      </c>
      <c r="F7" s="223">
        <v>800000</v>
      </c>
      <c r="H7" s="322"/>
      <c r="I7" s="30" t="s">
        <v>114</v>
      </c>
      <c r="J7" s="223"/>
      <c r="K7" s="223">
        <v>18000000</v>
      </c>
      <c r="L7" s="223">
        <v>9000000</v>
      </c>
      <c r="M7" s="223">
        <v>800000</v>
      </c>
      <c r="N7" s="224">
        <v>6500000</v>
      </c>
      <c r="O7" s="225">
        <v>6181636</v>
      </c>
      <c r="P7" s="225">
        <v>7714818</v>
      </c>
      <c r="Q7" s="225">
        <v>10000000</v>
      </c>
      <c r="R7" s="226">
        <f t="shared" si="0"/>
        <v>2500000</v>
      </c>
      <c r="T7" s="322"/>
      <c r="U7" s="30" t="s">
        <v>114</v>
      </c>
      <c r="V7" s="223"/>
      <c r="W7" s="223">
        <v>19000000</v>
      </c>
      <c r="X7" s="223">
        <f t="shared" si="1"/>
        <v>9500000</v>
      </c>
      <c r="Y7" s="223">
        <f t="shared" si="2"/>
        <v>14250000</v>
      </c>
      <c r="Z7" s="223">
        <v>800000</v>
      </c>
      <c r="AA7" s="224">
        <v>4202111</v>
      </c>
      <c r="AB7" s="225"/>
      <c r="AC7" s="225"/>
      <c r="AD7" s="225"/>
      <c r="AE7" s="226">
        <f t="shared" si="3"/>
        <v>0</v>
      </c>
    </row>
    <row r="8" spans="1:31">
      <c r="A8" s="322"/>
      <c r="B8" s="30" t="s">
        <v>257</v>
      </c>
      <c r="C8" s="223"/>
      <c r="D8" s="223">
        <v>19000000</v>
      </c>
      <c r="E8" s="223">
        <v>10000000</v>
      </c>
      <c r="F8" s="223">
        <v>800000</v>
      </c>
      <c r="H8" s="322"/>
      <c r="I8" s="30" t="s">
        <v>257</v>
      </c>
      <c r="J8" s="223"/>
      <c r="K8" s="223">
        <v>19000000</v>
      </c>
      <c r="L8" s="223">
        <v>10000000</v>
      </c>
      <c r="M8" s="223">
        <v>800000</v>
      </c>
      <c r="N8" s="224">
        <v>6500000</v>
      </c>
      <c r="O8" s="225">
        <v>6787091</v>
      </c>
      <c r="P8" s="225">
        <v>8419182</v>
      </c>
      <c r="Q8" s="225">
        <v>10000000</v>
      </c>
      <c r="R8" s="226">
        <f t="shared" si="0"/>
        <v>2500000</v>
      </c>
      <c r="T8" s="322"/>
      <c r="U8" s="30" t="s">
        <v>257</v>
      </c>
      <c r="V8" s="223"/>
      <c r="W8" s="223">
        <v>20000000</v>
      </c>
      <c r="X8" s="223">
        <f t="shared" si="1"/>
        <v>10000000</v>
      </c>
      <c r="Y8" s="223">
        <f t="shared" si="2"/>
        <v>15000000</v>
      </c>
      <c r="Z8" s="223">
        <v>800000</v>
      </c>
      <c r="AA8" s="224">
        <v>4202111</v>
      </c>
      <c r="AB8" s="225"/>
      <c r="AC8" s="225"/>
      <c r="AD8" s="225"/>
      <c r="AE8" s="226">
        <f t="shared" si="3"/>
        <v>0</v>
      </c>
    </row>
    <row r="9" spans="1:31">
      <c r="A9" s="322"/>
      <c r="B9" s="30" t="s">
        <v>54</v>
      </c>
      <c r="C9" s="223"/>
      <c r="D9" s="223">
        <v>8000000</v>
      </c>
      <c r="E9" s="223">
        <v>4000000</v>
      </c>
      <c r="F9" s="223">
        <v>300000</v>
      </c>
      <c r="H9" s="322"/>
      <c r="I9" s="30" t="s">
        <v>54</v>
      </c>
      <c r="J9" s="223"/>
      <c r="K9" s="223">
        <v>8000000</v>
      </c>
      <c r="L9" s="223">
        <v>4000000</v>
      </c>
      <c r="M9" s="223">
        <v>300000</v>
      </c>
      <c r="N9" s="224">
        <v>2800000</v>
      </c>
      <c r="O9" s="225"/>
      <c r="P9" s="225"/>
      <c r="Q9" s="225">
        <v>5000000</v>
      </c>
      <c r="R9" s="226">
        <f t="shared" si="0"/>
        <v>1250000</v>
      </c>
      <c r="T9" s="322"/>
      <c r="U9" s="30" t="s">
        <v>55</v>
      </c>
      <c r="V9" s="223"/>
      <c r="W9" s="223">
        <v>8000000</v>
      </c>
      <c r="X9" s="223">
        <f t="shared" si="1"/>
        <v>4000000</v>
      </c>
      <c r="Y9" s="223">
        <f t="shared" si="2"/>
        <v>6000000</v>
      </c>
      <c r="Z9" s="223">
        <v>300000</v>
      </c>
      <c r="AA9" s="224">
        <v>3279000</v>
      </c>
      <c r="AB9" s="225"/>
      <c r="AC9" s="225"/>
      <c r="AD9" s="225"/>
      <c r="AE9" s="226">
        <f t="shared" si="3"/>
        <v>0</v>
      </c>
    </row>
    <row r="10" spans="1:31">
      <c r="A10" s="322"/>
      <c r="B10" s="30" t="s">
        <v>56</v>
      </c>
      <c r="C10" s="223"/>
      <c r="D10" s="223">
        <v>8500000</v>
      </c>
      <c r="E10" s="223">
        <v>4300000</v>
      </c>
      <c r="F10" s="223">
        <v>300000</v>
      </c>
      <c r="H10" s="322"/>
      <c r="I10" s="30" t="s">
        <v>56</v>
      </c>
      <c r="J10" s="223"/>
      <c r="K10" s="223">
        <v>8500000</v>
      </c>
      <c r="L10" s="223">
        <v>4300000</v>
      </c>
      <c r="M10" s="223">
        <v>300000</v>
      </c>
      <c r="N10" s="224">
        <v>2800000</v>
      </c>
      <c r="O10" s="225"/>
      <c r="P10" s="225"/>
      <c r="Q10" s="225">
        <v>5000000</v>
      </c>
      <c r="R10" s="226">
        <f t="shared" si="0"/>
        <v>1250000</v>
      </c>
      <c r="T10" s="322"/>
      <c r="U10" s="30" t="s">
        <v>56</v>
      </c>
      <c r="V10" s="223"/>
      <c r="W10" s="223">
        <v>8500000</v>
      </c>
      <c r="X10" s="223">
        <f t="shared" si="1"/>
        <v>4250000</v>
      </c>
      <c r="Y10" s="223">
        <f t="shared" si="2"/>
        <v>6375000</v>
      </c>
      <c r="Z10" s="223">
        <v>300000</v>
      </c>
      <c r="AA10" s="224">
        <v>3279000</v>
      </c>
      <c r="AB10" s="225"/>
      <c r="AC10" s="225"/>
      <c r="AD10" s="225"/>
      <c r="AE10" s="226">
        <f t="shared" si="3"/>
        <v>0</v>
      </c>
    </row>
    <row r="11" spans="1:31">
      <c r="A11" s="322"/>
      <c r="B11" s="30" t="s">
        <v>1953</v>
      </c>
      <c r="C11" s="223"/>
      <c r="D11" s="223">
        <v>10000000</v>
      </c>
      <c r="E11" s="223">
        <v>5000000</v>
      </c>
      <c r="F11" s="223">
        <v>300000</v>
      </c>
      <c r="H11" s="322"/>
      <c r="I11" s="30" t="s">
        <v>1953</v>
      </c>
      <c r="J11" s="223"/>
      <c r="K11" s="223">
        <v>10000000</v>
      </c>
      <c r="L11" s="223">
        <v>5000000</v>
      </c>
      <c r="M11" s="223">
        <v>300000</v>
      </c>
      <c r="N11" s="224">
        <v>2800000</v>
      </c>
      <c r="O11" s="225"/>
      <c r="P11" s="225"/>
      <c r="Q11" s="225">
        <v>5000000</v>
      </c>
      <c r="R11" s="226">
        <f t="shared" si="0"/>
        <v>1250000</v>
      </c>
      <c r="T11" s="322"/>
      <c r="U11" s="30" t="s">
        <v>110</v>
      </c>
      <c r="V11" s="223"/>
      <c r="W11" s="223">
        <v>16000000</v>
      </c>
      <c r="X11" s="223">
        <f t="shared" si="1"/>
        <v>8000000</v>
      </c>
      <c r="Y11" s="223">
        <f t="shared" si="2"/>
        <v>12000000</v>
      </c>
      <c r="Z11" s="223">
        <v>500000</v>
      </c>
      <c r="AA11" s="224">
        <v>3829889</v>
      </c>
      <c r="AB11" s="225"/>
      <c r="AC11" s="225"/>
      <c r="AD11" s="225"/>
      <c r="AE11" s="226">
        <f t="shared" si="3"/>
        <v>0</v>
      </c>
    </row>
    <row r="12" spans="1:31">
      <c r="A12" s="322"/>
      <c r="B12" s="30" t="s">
        <v>110</v>
      </c>
      <c r="C12" s="223"/>
      <c r="D12" s="223">
        <v>15000000</v>
      </c>
      <c r="E12" s="223">
        <v>7500000</v>
      </c>
      <c r="F12" s="223">
        <v>500000</v>
      </c>
      <c r="H12" s="322"/>
      <c r="I12" s="30" t="s">
        <v>110</v>
      </c>
      <c r="J12" s="223"/>
      <c r="K12" s="223">
        <v>15000000</v>
      </c>
      <c r="L12" s="223">
        <v>7500000</v>
      </c>
      <c r="M12" s="223">
        <v>500000</v>
      </c>
      <c r="N12" s="224">
        <v>4800000</v>
      </c>
      <c r="O12" s="225">
        <v>5478182</v>
      </c>
      <c r="P12" s="225">
        <v>6713010</v>
      </c>
      <c r="Q12" s="225">
        <v>7000000</v>
      </c>
      <c r="R12" s="226">
        <f t="shared" si="0"/>
        <v>1750000</v>
      </c>
      <c r="T12" s="322"/>
      <c r="U12" s="30" t="s">
        <v>280</v>
      </c>
      <c r="V12" s="223"/>
      <c r="W12" s="223">
        <v>20000000</v>
      </c>
      <c r="X12" s="223">
        <f t="shared" si="1"/>
        <v>10000000</v>
      </c>
      <c r="Y12" s="223">
        <f t="shared" si="2"/>
        <v>15000000</v>
      </c>
      <c r="Z12" s="223">
        <v>800000</v>
      </c>
      <c r="AA12" s="224">
        <v>3829889</v>
      </c>
      <c r="AB12" s="225"/>
      <c r="AC12" s="225"/>
      <c r="AD12" s="225"/>
      <c r="AE12" s="226">
        <f t="shared" si="3"/>
        <v>0</v>
      </c>
    </row>
    <row r="13" spans="1:31">
      <c r="A13" s="322"/>
      <c r="B13" s="30" t="s">
        <v>280</v>
      </c>
      <c r="C13" s="223"/>
      <c r="D13" s="223">
        <v>18000000</v>
      </c>
      <c r="E13" s="223">
        <v>9000000</v>
      </c>
      <c r="F13" s="223">
        <v>800000</v>
      </c>
      <c r="H13" s="322"/>
      <c r="I13" s="30" t="s">
        <v>280</v>
      </c>
      <c r="J13" s="223"/>
      <c r="K13" s="223">
        <v>18000000</v>
      </c>
      <c r="L13" s="223">
        <v>9000000</v>
      </c>
      <c r="M13" s="223">
        <v>800000</v>
      </c>
      <c r="N13" s="224">
        <v>6500000</v>
      </c>
      <c r="O13" s="225">
        <v>5862727</v>
      </c>
      <c r="P13" s="225">
        <v>7863727</v>
      </c>
      <c r="Q13" s="225">
        <v>10000000</v>
      </c>
      <c r="R13" s="226">
        <f t="shared" si="0"/>
        <v>2500000</v>
      </c>
      <c r="T13" s="322"/>
      <c r="U13" s="30" t="s">
        <v>276</v>
      </c>
      <c r="V13" s="223"/>
      <c r="W13" s="223">
        <v>20000000</v>
      </c>
      <c r="X13" s="223">
        <f t="shared" si="1"/>
        <v>10000000</v>
      </c>
      <c r="Y13" s="223">
        <f t="shared" si="2"/>
        <v>15000000</v>
      </c>
      <c r="Z13" s="223">
        <v>800000</v>
      </c>
      <c r="AA13" s="224">
        <v>3829889</v>
      </c>
      <c r="AB13" s="225"/>
      <c r="AC13" s="225"/>
      <c r="AD13" s="225"/>
      <c r="AE13" s="226">
        <f t="shared" si="3"/>
        <v>0</v>
      </c>
    </row>
    <row r="14" spans="1:31">
      <c r="A14" s="322"/>
      <c r="B14" s="30" t="s">
        <v>276</v>
      </c>
      <c r="C14" s="223"/>
      <c r="D14" s="223">
        <v>19000000</v>
      </c>
      <c r="E14" s="223">
        <v>10000000</v>
      </c>
      <c r="F14" s="223">
        <v>800000</v>
      </c>
      <c r="H14" s="322"/>
      <c r="I14" s="30" t="s">
        <v>276</v>
      </c>
      <c r="J14" s="223"/>
      <c r="K14" s="223">
        <v>19000000</v>
      </c>
      <c r="L14" s="223">
        <v>10000000</v>
      </c>
      <c r="M14" s="223">
        <v>800000</v>
      </c>
      <c r="N14" s="224">
        <v>6500000</v>
      </c>
      <c r="O14" s="225">
        <v>6979500</v>
      </c>
      <c r="P14" s="225"/>
      <c r="Q14" s="225">
        <v>10000000</v>
      </c>
      <c r="R14" s="226">
        <f t="shared" si="0"/>
        <v>2500000</v>
      </c>
      <c r="T14" s="322"/>
      <c r="U14" s="30" t="s">
        <v>1034</v>
      </c>
      <c r="V14" s="223"/>
      <c r="W14" s="223">
        <v>28000000</v>
      </c>
      <c r="X14" s="223">
        <f t="shared" si="1"/>
        <v>14000000</v>
      </c>
      <c r="Y14" s="223">
        <f t="shared" si="2"/>
        <v>21000000</v>
      </c>
      <c r="Z14" s="223">
        <v>1000000</v>
      </c>
      <c r="AA14" s="224">
        <v>3829889</v>
      </c>
      <c r="AB14" s="225"/>
      <c r="AC14" s="225"/>
      <c r="AD14" s="225"/>
      <c r="AE14" s="226">
        <f t="shared" si="3"/>
        <v>0</v>
      </c>
    </row>
    <row r="15" spans="1:31">
      <c r="A15" s="322"/>
      <c r="B15" s="30" t="s">
        <v>1034</v>
      </c>
      <c r="C15" s="223"/>
      <c r="D15" s="223">
        <v>25000000</v>
      </c>
      <c r="E15" s="223">
        <v>12500000</v>
      </c>
      <c r="F15" s="223">
        <v>1000000</v>
      </c>
      <c r="H15" s="322"/>
      <c r="I15" s="30" t="s">
        <v>1034</v>
      </c>
      <c r="J15" s="223"/>
      <c r="K15" s="223">
        <v>25000000</v>
      </c>
      <c r="L15" s="223">
        <v>12500000</v>
      </c>
      <c r="M15" s="223">
        <v>1000000</v>
      </c>
      <c r="N15" s="224">
        <v>8500000</v>
      </c>
      <c r="O15" s="225"/>
      <c r="P15" s="225"/>
      <c r="Q15" s="225">
        <v>15000000</v>
      </c>
      <c r="R15" s="226">
        <f t="shared" si="0"/>
        <v>3750000</v>
      </c>
      <c r="T15" s="322"/>
      <c r="U15" s="30" t="s">
        <v>51</v>
      </c>
      <c r="V15" s="223"/>
      <c r="W15" s="223">
        <v>28000000</v>
      </c>
      <c r="X15" s="223">
        <f t="shared" si="1"/>
        <v>14000000</v>
      </c>
      <c r="Y15" s="223">
        <f t="shared" si="2"/>
        <v>21000000</v>
      </c>
      <c r="Z15" s="223">
        <v>1000000</v>
      </c>
      <c r="AA15" s="224">
        <v>3829889</v>
      </c>
      <c r="AB15" s="225"/>
      <c r="AC15" s="225"/>
      <c r="AD15" s="225"/>
      <c r="AE15" s="226">
        <f t="shared" si="3"/>
        <v>0</v>
      </c>
    </row>
    <row r="16" spans="1:31">
      <c r="A16" s="322"/>
      <c r="B16" s="30" t="s">
        <v>51</v>
      </c>
      <c r="C16" s="223"/>
      <c r="D16" s="223">
        <v>27000000</v>
      </c>
      <c r="E16" s="223">
        <v>13500000</v>
      </c>
      <c r="F16" s="223">
        <v>1000000</v>
      </c>
      <c r="H16" s="322"/>
      <c r="I16" s="30" t="s">
        <v>51</v>
      </c>
      <c r="J16" s="223"/>
      <c r="K16" s="223">
        <v>27000000</v>
      </c>
      <c r="L16" s="223">
        <v>13500000</v>
      </c>
      <c r="M16" s="223">
        <v>1000000</v>
      </c>
      <c r="N16" s="224">
        <v>8500000</v>
      </c>
      <c r="O16" s="225"/>
      <c r="P16" s="225"/>
      <c r="Q16" s="225">
        <v>15000000</v>
      </c>
      <c r="R16" s="226">
        <f t="shared" si="0"/>
        <v>3750000</v>
      </c>
      <c r="T16" s="322"/>
      <c r="U16" s="30" t="s">
        <v>1239</v>
      </c>
      <c r="V16" s="223"/>
      <c r="W16" s="223">
        <v>40000000</v>
      </c>
      <c r="X16" s="223">
        <f t="shared" si="1"/>
        <v>20000000</v>
      </c>
      <c r="Y16" s="223">
        <f t="shared" si="2"/>
        <v>30000000</v>
      </c>
      <c r="Z16" s="223">
        <v>1000000</v>
      </c>
      <c r="AA16" s="224">
        <v>4729889</v>
      </c>
      <c r="AB16" s="225"/>
      <c r="AC16" s="225"/>
      <c r="AD16" s="225"/>
      <c r="AE16" s="226">
        <f t="shared" si="3"/>
        <v>0</v>
      </c>
    </row>
    <row r="17" spans="1:31">
      <c r="A17" s="322"/>
      <c r="B17" s="30" t="s">
        <v>1239</v>
      </c>
      <c r="C17" s="223"/>
      <c r="D17" s="223">
        <v>35000000</v>
      </c>
      <c r="E17" s="223">
        <v>18000000</v>
      </c>
      <c r="F17" s="223">
        <v>1200000</v>
      </c>
      <c r="H17" s="322"/>
      <c r="I17" s="30" t="s">
        <v>1239</v>
      </c>
      <c r="J17" s="223"/>
      <c r="K17" s="223">
        <v>35000000</v>
      </c>
      <c r="L17" s="223">
        <v>18000000</v>
      </c>
      <c r="M17" s="223">
        <v>1200000</v>
      </c>
      <c r="N17" s="224">
        <v>9000000</v>
      </c>
      <c r="O17" s="225"/>
      <c r="P17" s="225"/>
      <c r="Q17" s="225">
        <v>15000000</v>
      </c>
      <c r="R17" s="226">
        <f t="shared" si="0"/>
        <v>3750000</v>
      </c>
      <c r="T17" s="322"/>
      <c r="U17" s="30" t="s">
        <v>50</v>
      </c>
      <c r="V17" s="223"/>
      <c r="W17" s="223">
        <v>40000000</v>
      </c>
      <c r="X17" s="223">
        <f t="shared" si="1"/>
        <v>20000000</v>
      </c>
      <c r="Y17" s="223">
        <f t="shared" si="2"/>
        <v>30000000</v>
      </c>
      <c r="Z17" s="223">
        <v>1000000</v>
      </c>
      <c r="AA17" s="224">
        <v>4729889</v>
      </c>
      <c r="AB17" s="225"/>
      <c r="AC17" s="225"/>
      <c r="AD17" s="225"/>
      <c r="AE17" s="226">
        <f t="shared" si="3"/>
        <v>0</v>
      </c>
    </row>
    <row r="18" spans="1:31">
      <c r="A18" s="322"/>
      <c r="B18" s="30" t="s">
        <v>50</v>
      </c>
      <c r="C18" s="223"/>
      <c r="D18" s="223">
        <v>38000000</v>
      </c>
      <c r="E18" s="223">
        <v>19000000</v>
      </c>
      <c r="F18" s="223">
        <v>1200000</v>
      </c>
      <c r="H18" s="322"/>
      <c r="I18" s="30" t="s">
        <v>50</v>
      </c>
      <c r="J18" s="223"/>
      <c r="K18" s="223">
        <v>38000000</v>
      </c>
      <c r="L18" s="223">
        <v>19000000</v>
      </c>
      <c r="M18" s="223">
        <v>1200000</v>
      </c>
      <c r="N18" s="224">
        <v>9000000</v>
      </c>
      <c r="O18" s="225"/>
      <c r="P18" s="225"/>
      <c r="Q18" s="225">
        <v>15000000</v>
      </c>
      <c r="R18" s="226">
        <f t="shared" si="0"/>
        <v>3750000</v>
      </c>
      <c r="T18" s="322"/>
      <c r="U18" s="30" t="s">
        <v>1017</v>
      </c>
      <c r="V18" s="223"/>
      <c r="W18" s="223">
        <v>80000000</v>
      </c>
      <c r="X18" s="223">
        <f t="shared" si="1"/>
        <v>40000000</v>
      </c>
      <c r="Y18" s="223">
        <f t="shared" si="2"/>
        <v>60000000</v>
      </c>
      <c r="Z18" s="223">
        <v>1500000</v>
      </c>
      <c r="AA18" s="224">
        <v>4802111</v>
      </c>
      <c r="AB18" s="225"/>
      <c r="AC18" s="225"/>
      <c r="AD18" s="225"/>
      <c r="AE18" s="226">
        <f t="shared" si="3"/>
        <v>0</v>
      </c>
    </row>
    <row r="19" spans="1:31">
      <c r="A19" s="322"/>
      <c r="B19" s="30" t="s">
        <v>1017</v>
      </c>
      <c r="C19" s="223"/>
      <c r="D19" s="223">
        <v>70000000</v>
      </c>
      <c r="E19" s="223">
        <v>35000000</v>
      </c>
      <c r="F19" s="223">
        <v>1500000</v>
      </c>
      <c r="H19" s="322"/>
      <c r="I19" s="30" t="s">
        <v>1017</v>
      </c>
      <c r="J19" s="223"/>
      <c r="K19" s="223">
        <v>70000000</v>
      </c>
      <c r="L19" s="223">
        <v>35000000</v>
      </c>
      <c r="M19" s="223">
        <v>1500000</v>
      </c>
      <c r="N19" s="224">
        <v>15000000</v>
      </c>
      <c r="O19" s="225"/>
      <c r="P19" s="225"/>
      <c r="Q19" s="225">
        <v>20000000</v>
      </c>
      <c r="R19" s="226">
        <f t="shared" si="0"/>
        <v>5000000</v>
      </c>
      <c r="T19" s="322"/>
      <c r="U19" s="30" t="s">
        <v>1107</v>
      </c>
      <c r="V19" s="223"/>
      <c r="W19" s="223">
        <v>80000000</v>
      </c>
      <c r="X19" s="223">
        <f t="shared" si="1"/>
        <v>40000000</v>
      </c>
      <c r="Y19" s="223">
        <f t="shared" si="2"/>
        <v>60000000</v>
      </c>
      <c r="Z19" s="223">
        <v>1500000</v>
      </c>
      <c r="AA19" s="224">
        <v>4802111</v>
      </c>
      <c r="AB19" s="225"/>
      <c r="AC19" s="225"/>
      <c r="AD19" s="225"/>
      <c r="AE19" s="226">
        <f t="shared" si="3"/>
        <v>0</v>
      </c>
    </row>
    <row r="20" spans="1:31">
      <c r="A20" s="322"/>
      <c r="B20" s="30" t="s">
        <v>1107</v>
      </c>
      <c r="C20" s="223"/>
      <c r="D20" s="223">
        <v>75000000</v>
      </c>
      <c r="E20" s="223">
        <v>38000000</v>
      </c>
      <c r="F20" s="223">
        <v>1500000</v>
      </c>
      <c r="H20" s="322"/>
      <c r="I20" s="30" t="s">
        <v>1107</v>
      </c>
      <c r="J20" s="223"/>
      <c r="K20" s="223">
        <v>75000000</v>
      </c>
      <c r="L20" s="223">
        <v>38000000</v>
      </c>
      <c r="M20" s="223">
        <v>1500000</v>
      </c>
      <c r="N20" s="224">
        <v>15000000</v>
      </c>
      <c r="O20" s="225"/>
      <c r="P20" s="225"/>
      <c r="Q20" s="225">
        <v>20000000</v>
      </c>
      <c r="R20" s="226">
        <f t="shared" si="0"/>
        <v>5000000</v>
      </c>
      <c r="T20" s="322"/>
      <c r="U20" s="30" t="s">
        <v>1954</v>
      </c>
      <c r="V20" s="223"/>
      <c r="W20" s="223">
        <v>110000000</v>
      </c>
      <c r="X20" s="223">
        <f t="shared" si="1"/>
        <v>55000000</v>
      </c>
      <c r="Y20" s="223">
        <f t="shared" si="2"/>
        <v>82500000</v>
      </c>
      <c r="Z20" s="223">
        <v>4500000</v>
      </c>
      <c r="AA20" s="224"/>
      <c r="AB20" s="225"/>
      <c r="AC20" s="225"/>
      <c r="AD20" s="225"/>
      <c r="AE20" s="226">
        <f t="shared" si="3"/>
        <v>0</v>
      </c>
    </row>
    <row r="21" spans="1:31">
      <c r="A21" s="322"/>
      <c r="B21" s="30" t="s">
        <v>1954</v>
      </c>
      <c r="C21" s="223"/>
      <c r="D21" s="223">
        <v>110000000</v>
      </c>
      <c r="E21" s="223">
        <v>55000000</v>
      </c>
      <c r="F21" s="223">
        <v>4500000</v>
      </c>
      <c r="H21" s="322"/>
      <c r="I21" s="30" t="s">
        <v>1954</v>
      </c>
      <c r="J21" s="223"/>
      <c r="K21" s="223">
        <v>110000000</v>
      </c>
      <c r="L21" s="223">
        <v>55000000</v>
      </c>
      <c r="M21" s="223">
        <v>4500000</v>
      </c>
      <c r="N21" s="224"/>
      <c r="O21" s="225"/>
      <c r="P21" s="225"/>
      <c r="Q21" s="225"/>
      <c r="R21" s="226">
        <f t="shared" si="0"/>
        <v>0</v>
      </c>
      <c r="T21" s="322"/>
      <c r="AB21" s="225"/>
      <c r="AC21" s="225"/>
      <c r="AD21" s="225"/>
      <c r="AE21" s="226">
        <f t="shared" si="3"/>
        <v>0</v>
      </c>
    </row>
    <row r="22" spans="1:31">
      <c r="A22" s="322"/>
      <c r="H22" s="322"/>
      <c r="T22" s="322"/>
    </row>
    <row r="23" spans="1:31" ht="14.5" thickBot="1">
      <c r="A23" s="323"/>
      <c r="H23" s="323"/>
      <c r="T23" s="323"/>
    </row>
    <row r="24" spans="1:31" ht="75">
      <c r="I24" s="324" t="s">
        <v>1955</v>
      </c>
      <c r="J24" s="326" t="s">
        <v>1956</v>
      </c>
      <c r="K24" s="326" t="s">
        <v>65</v>
      </c>
      <c r="L24" s="326" t="s">
        <v>1957</v>
      </c>
      <c r="M24" s="326" t="s">
        <v>1958</v>
      </c>
      <c r="N24" s="229" t="s">
        <v>1959</v>
      </c>
      <c r="O24" s="328" t="s">
        <v>1960</v>
      </c>
      <c r="P24" s="230" t="s">
        <v>1961</v>
      </c>
      <c r="Q24" s="328" t="s">
        <v>1962</v>
      </c>
      <c r="R24" s="330" t="s">
        <v>1963</v>
      </c>
      <c r="S24" s="332" t="s">
        <v>1964</v>
      </c>
      <c r="U24" s="324" t="s">
        <v>1955</v>
      </c>
      <c r="V24" s="326" t="s">
        <v>1956</v>
      </c>
      <c r="W24" s="326" t="s">
        <v>65</v>
      </c>
      <c r="X24" s="326" t="s">
        <v>1957</v>
      </c>
      <c r="Y24" s="228"/>
      <c r="Z24" s="326" t="s">
        <v>1958</v>
      </c>
      <c r="AA24" s="229" t="s">
        <v>1959</v>
      </c>
      <c r="AB24" s="328" t="s">
        <v>1960</v>
      </c>
      <c r="AC24" s="230" t="s">
        <v>1961</v>
      </c>
      <c r="AD24" s="339" t="s">
        <v>1962</v>
      </c>
      <c r="AE24" s="341" t="s">
        <v>1963</v>
      </c>
    </row>
    <row r="25" spans="1:31" ht="45.5" thickBot="1">
      <c r="I25" s="325"/>
      <c r="J25" s="327"/>
      <c r="K25" s="327"/>
      <c r="L25" s="327"/>
      <c r="M25" s="327"/>
      <c r="N25" s="232" t="s">
        <v>1965</v>
      </c>
      <c r="O25" s="329"/>
      <c r="P25" s="233" t="s">
        <v>1966</v>
      </c>
      <c r="Q25" s="329"/>
      <c r="R25" s="331"/>
      <c r="S25" s="333"/>
      <c r="U25" s="325"/>
      <c r="V25" s="327"/>
      <c r="W25" s="327"/>
      <c r="X25" s="327"/>
      <c r="Y25" s="231"/>
      <c r="Z25" s="327"/>
      <c r="AA25" s="232" t="s">
        <v>1965</v>
      </c>
      <c r="AB25" s="329"/>
      <c r="AC25" s="233" t="s">
        <v>1966</v>
      </c>
      <c r="AD25" s="340"/>
      <c r="AE25" s="342"/>
    </row>
    <row r="26" spans="1:31" ht="15.5">
      <c r="G26" s="219" t="str">
        <f>VLOOKUP(J26,'[2]DATA GROUP BY SHOWROOM'!$M$1:$O$2511,1,0)</f>
        <v>VF5</v>
      </c>
      <c r="I26" s="234">
        <v>1</v>
      </c>
      <c r="J26" s="30" t="s">
        <v>110</v>
      </c>
      <c r="K26" s="235" t="s">
        <v>140</v>
      </c>
      <c r="L26" s="235">
        <v>5</v>
      </c>
      <c r="M26" s="236">
        <v>497260000</v>
      </c>
      <c r="N26" s="237">
        <v>6940000</v>
      </c>
      <c r="O26" s="236">
        <v>5478181.8181818184</v>
      </c>
      <c r="P26" s="238">
        <v>8727000</v>
      </c>
      <c r="Q26" s="239">
        <v>6840272.7272727275</v>
      </c>
      <c r="R26" s="240">
        <v>860272.72727272753</v>
      </c>
      <c r="S26" s="334" t="s">
        <v>1967</v>
      </c>
      <c r="U26" s="234">
        <v>1</v>
      </c>
      <c r="V26" s="30" t="s">
        <v>110</v>
      </c>
      <c r="W26" s="235" t="s">
        <v>140</v>
      </c>
      <c r="X26" s="235">
        <v>5</v>
      </c>
      <c r="Y26" s="235"/>
      <c r="Z26" s="236">
        <v>497260000</v>
      </c>
      <c r="AA26" s="237">
        <v>6940000</v>
      </c>
      <c r="AB26" s="236">
        <v>5478181.8181818184</v>
      </c>
      <c r="AC26" s="238">
        <v>8727000</v>
      </c>
      <c r="AD26" s="239">
        <v>6840272.7272727275</v>
      </c>
      <c r="AE26" s="240">
        <v>860272.72727272753</v>
      </c>
    </row>
    <row r="27" spans="1:31" ht="15.5">
      <c r="G27" s="219" t="str">
        <f>VLOOKUP(J27,'[2]DATA GROUP BY SHOWROOM'!$M$1:$O$2511,1,0)</f>
        <v xml:space="preserve">VF6 Eco </v>
      </c>
      <c r="I27" s="241">
        <v>2</v>
      </c>
      <c r="J27" s="30" t="s">
        <v>280</v>
      </c>
      <c r="K27" s="242" t="s">
        <v>195</v>
      </c>
      <c r="L27" s="242">
        <v>5</v>
      </c>
      <c r="M27" s="243">
        <v>647660000</v>
      </c>
      <c r="N27" s="244">
        <v>7410000</v>
      </c>
      <c r="O27" s="236">
        <v>5862727.2727272725</v>
      </c>
      <c r="P27" s="245">
        <v>10039000</v>
      </c>
      <c r="Q27" s="246">
        <v>7863727.2727272734</v>
      </c>
      <c r="R27" s="247">
        <v>1543727.2727272734</v>
      </c>
      <c r="S27" s="335"/>
      <c r="U27" s="241">
        <v>2</v>
      </c>
      <c r="V27" s="30" t="s">
        <v>280</v>
      </c>
      <c r="W27" s="242" t="s">
        <v>195</v>
      </c>
      <c r="X27" s="242">
        <v>5</v>
      </c>
      <c r="Y27" s="242"/>
      <c r="Z27" s="243">
        <v>647660000</v>
      </c>
      <c r="AA27" s="244">
        <v>7410000</v>
      </c>
      <c r="AB27" s="236">
        <v>5862727.2727272725</v>
      </c>
      <c r="AC27" s="245">
        <v>10039000</v>
      </c>
      <c r="AD27" s="246">
        <v>7863727.2727272734</v>
      </c>
      <c r="AE27" s="247">
        <v>1543727.2727272734</v>
      </c>
    </row>
    <row r="28" spans="1:31" ht="15.5">
      <c r="G28" s="219" t="str">
        <f>VLOOKUP(J28,'[2]DATA GROUP BY SHOWROOM'!$M$1:$O$2511,1,0)</f>
        <v>VF6 Plus</v>
      </c>
      <c r="I28" s="337">
        <v>3</v>
      </c>
      <c r="J28" s="30" t="s">
        <v>276</v>
      </c>
      <c r="K28" s="242" t="s">
        <v>1968</v>
      </c>
      <c r="L28" s="242">
        <v>5</v>
      </c>
      <c r="M28" s="243">
        <v>704060000</v>
      </c>
      <c r="N28" s="244">
        <v>7922000</v>
      </c>
      <c r="O28" s="236">
        <v>6231636.3636363633</v>
      </c>
      <c r="P28" s="245">
        <v>9857000</v>
      </c>
      <c r="Q28" s="246">
        <v>7714818.1818181816</v>
      </c>
      <c r="R28" s="247">
        <v>1394818.1818181816</v>
      </c>
      <c r="S28" s="335"/>
      <c r="U28" s="337">
        <v>3</v>
      </c>
      <c r="V28" s="30" t="s">
        <v>276</v>
      </c>
      <c r="W28" s="242" t="s">
        <v>1968</v>
      </c>
      <c r="X28" s="242">
        <v>5</v>
      </c>
      <c r="Y28" s="242"/>
      <c r="Z28" s="243">
        <v>704060000</v>
      </c>
      <c r="AA28" s="244">
        <v>7922000</v>
      </c>
      <c r="AB28" s="236">
        <v>6231636.3636363633</v>
      </c>
      <c r="AC28" s="245">
        <v>9857000</v>
      </c>
      <c r="AD28" s="246">
        <v>7714818.1818181816</v>
      </c>
      <c r="AE28" s="247">
        <v>1394818.1818181816</v>
      </c>
    </row>
    <row r="29" spans="1:31" ht="15.5">
      <c r="G29" s="219" t="str">
        <f>VLOOKUP(J29,'[2]DATA GROUP BY SHOWROOM'!$M$1:$O$2511,1,0)</f>
        <v>VF6 Plus</v>
      </c>
      <c r="I29" s="337"/>
      <c r="J29" s="30" t="s">
        <v>276</v>
      </c>
      <c r="K29" s="242" t="s">
        <v>197</v>
      </c>
      <c r="L29" s="242">
        <v>5</v>
      </c>
      <c r="M29" s="243">
        <v>700300000</v>
      </c>
      <c r="N29" s="244">
        <v>7880000</v>
      </c>
      <c r="O29" s="236">
        <v>6197272.7272727275</v>
      </c>
      <c r="P29" s="245">
        <v>9805000</v>
      </c>
      <c r="Q29" s="246">
        <v>7672272.7272727275</v>
      </c>
      <c r="R29" s="247">
        <v>1352272.7272727275</v>
      </c>
      <c r="S29" s="335"/>
      <c r="U29" s="337"/>
      <c r="V29" s="30" t="s">
        <v>276</v>
      </c>
      <c r="W29" s="242" t="s">
        <v>197</v>
      </c>
      <c r="X29" s="242">
        <v>5</v>
      </c>
      <c r="Y29" s="242"/>
      <c r="Z29" s="243">
        <v>700300000</v>
      </c>
      <c r="AA29" s="244">
        <v>7880000</v>
      </c>
      <c r="AB29" s="236">
        <v>6197272.7272727275</v>
      </c>
      <c r="AC29" s="245">
        <v>9805000</v>
      </c>
      <c r="AD29" s="246">
        <v>7672272.7272727275</v>
      </c>
      <c r="AE29" s="247">
        <v>1352272.7272727275</v>
      </c>
    </row>
    <row r="30" spans="1:31" ht="15.5">
      <c r="G30" s="219" t="str">
        <f>VLOOKUP(J30,'[2]DATA GROUP BY SHOWROOM'!$M$1:$O$2511,1,0)</f>
        <v>VF6 Plus</v>
      </c>
      <c r="I30" s="337">
        <v>4</v>
      </c>
      <c r="J30" s="30" t="s">
        <v>276</v>
      </c>
      <c r="K30" s="242" t="s">
        <v>1969</v>
      </c>
      <c r="L30" s="242">
        <v>5</v>
      </c>
      <c r="M30" s="243">
        <v>713460000</v>
      </c>
      <c r="N30" s="244">
        <v>8028000</v>
      </c>
      <c r="O30" s="236">
        <v>6318363.6363636367</v>
      </c>
      <c r="P30" s="245">
        <v>9989000</v>
      </c>
      <c r="Q30" s="246">
        <v>7822818.1818181816</v>
      </c>
      <c r="R30" s="247">
        <v>1502818.1818181816</v>
      </c>
      <c r="S30" s="335"/>
      <c r="U30" s="337">
        <v>4</v>
      </c>
      <c r="V30" s="30" t="s">
        <v>276</v>
      </c>
      <c r="W30" s="242" t="s">
        <v>1969</v>
      </c>
      <c r="X30" s="242">
        <v>5</v>
      </c>
      <c r="Y30" s="242"/>
      <c r="Z30" s="243">
        <v>713460000</v>
      </c>
      <c r="AA30" s="244">
        <v>8028000</v>
      </c>
      <c r="AB30" s="236">
        <v>6318363.6363636367</v>
      </c>
      <c r="AC30" s="245">
        <v>9989000</v>
      </c>
      <c r="AD30" s="246">
        <v>7822818.1818181816</v>
      </c>
      <c r="AE30" s="247">
        <v>1502818.1818181816</v>
      </c>
    </row>
    <row r="31" spans="1:31" ht="15.5">
      <c r="G31" s="219" t="e">
        <f>VLOOKUP(J31,'[2]DATA GROUP BY SHOWROOM'!$M$1:$O$2511,1,0)</f>
        <v>#N/A</v>
      </c>
      <c r="I31" s="337"/>
      <c r="J31" s="248" t="s">
        <v>1951</v>
      </c>
      <c r="K31" s="242" t="s">
        <v>199</v>
      </c>
      <c r="L31" s="242">
        <v>5</v>
      </c>
      <c r="M31" s="243">
        <v>469060000</v>
      </c>
      <c r="N31" s="244">
        <v>6545000</v>
      </c>
      <c r="O31" s="236">
        <v>5155000</v>
      </c>
      <c r="P31" s="245">
        <v>8233000</v>
      </c>
      <c r="Q31" s="246">
        <v>6436090.9090909092</v>
      </c>
      <c r="R31" s="247">
        <v>1227090.9090909092</v>
      </c>
      <c r="S31" s="335"/>
      <c r="U31" s="337"/>
      <c r="V31" s="248" t="s">
        <v>1951</v>
      </c>
      <c r="W31" s="242" t="s">
        <v>199</v>
      </c>
      <c r="X31" s="242">
        <v>5</v>
      </c>
      <c r="Y31" s="242"/>
      <c r="Z31" s="243">
        <v>469060000</v>
      </c>
      <c r="AA31" s="244">
        <v>6545000</v>
      </c>
      <c r="AB31" s="236">
        <v>5155000</v>
      </c>
      <c r="AC31" s="245">
        <v>8233000</v>
      </c>
      <c r="AD31" s="246">
        <v>6436090.9090909092</v>
      </c>
      <c r="AE31" s="247">
        <v>1227090.9090909092</v>
      </c>
    </row>
    <row r="32" spans="1:31" ht="15.5">
      <c r="G32" s="219" t="e">
        <f>VLOOKUP(J32,'[2]DATA GROUP BY SHOWROOM'!$M$1:$O$2511,1,0)</f>
        <v>#N/A</v>
      </c>
      <c r="I32" s="337"/>
      <c r="J32" s="248" t="s">
        <v>1951</v>
      </c>
      <c r="K32" s="242" t="s">
        <v>130</v>
      </c>
      <c r="L32" s="242">
        <v>5</v>
      </c>
      <c r="M32" s="243">
        <v>450260000</v>
      </c>
      <c r="N32" s="244">
        <v>6283000</v>
      </c>
      <c r="O32" s="236">
        <v>4940636.3636363633</v>
      </c>
      <c r="P32" s="245">
        <v>7903000</v>
      </c>
      <c r="Q32" s="246">
        <v>6166090.9090909092</v>
      </c>
      <c r="R32" s="247">
        <v>957090.90909090918</v>
      </c>
      <c r="S32" s="335"/>
      <c r="U32" s="337"/>
      <c r="V32" s="248" t="s">
        <v>1951</v>
      </c>
      <c r="W32" s="242" t="s">
        <v>130</v>
      </c>
      <c r="X32" s="242">
        <v>5</v>
      </c>
      <c r="Y32" s="242"/>
      <c r="Z32" s="243">
        <v>450260000</v>
      </c>
      <c r="AA32" s="244">
        <v>6283000</v>
      </c>
      <c r="AB32" s="236">
        <v>4940636.3636363633</v>
      </c>
      <c r="AC32" s="245">
        <v>7903000</v>
      </c>
      <c r="AD32" s="246">
        <v>6166090.9090909092</v>
      </c>
      <c r="AE32" s="247">
        <v>957090.90909090918</v>
      </c>
    </row>
    <row r="33" spans="7:31" ht="15.5">
      <c r="G33" s="219" t="str">
        <f>VLOOKUP(J33,'[2]DATA GROUP BY SHOWROOM'!$M$1:$O$2511,1,0)</f>
        <v>Limo Green</v>
      </c>
      <c r="I33" s="337">
        <v>5</v>
      </c>
      <c r="J33" s="242" t="s">
        <v>114</v>
      </c>
      <c r="K33" s="242" t="s">
        <v>114</v>
      </c>
      <c r="L33" s="242">
        <v>7</v>
      </c>
      <c r="M33" s="243">
        <v>704060000</v>
      </c>
      <c r="N33" s="244">
        <v>7922000</v>
      </c>
      <c r="O33" s="236">
        <v>6181636.3636363633</v>
      </c>
      <c r="P33" s="245">
        <v>9857000</v>
      </c>
      <c r="Q33" s="246">
        <v>7714818.1818181816</v>
      </c>
      <c r="R33" s="247">
        <v>677818.18181818165</v>
      </c>
      <c r="S33" s="335"/>
      <c r="U33" s="337">
        <v>5</v>
      </c>
      <c r="V33" s="242" t="s">
        <v>114</v>
      </c>
      <c r="W33" s="242" t="s">
        <v>114</v>
      </c>
      <c r="X33" s="242">
        <v>7</v>
      </c>
      <c r="Y33" s="242"/>
      <c r="Z33" s="243">
        <v>704060000</v>
      </c>
      <c r="AA33" s="244">
        <v>7922000</v>
      </c>
      <c r="AB33" s="236">
        <v>6181636.3636363633</v>
      </c>
      <c r="AC33" s="245">
        <v>9857000</v>
      </c>
      <c r="AD33" s="246">
        <v>7714818.1818181816</v>
      </c>
      <c r="AE33" s="247">
        <v>677818.18181818165</v>
      </c>
    </row>
    <row r="34" spans="7:31" ht="16" thickBot="1">
      <c r="G34" s="219" t="str">
        <f>VLOOKUP(J34,'[2]DATA GROUP BY SHOWROOM'!$M$1:$O$2511,1,0)</f>
        <v>Limo MPV 7</v>
      </c>
      <c r="I34" s="338"/>
      <c r="J34" s="30" t="s">
        <v>257</v>
      </c>
      <c r="K34" s="249" t="s">
        <v>53</v>
      </c>
      <c r="L34" s="249">
        <v>7</v>
      </c>
      <c r="M34" s="250">
        <v>769860000</v>
      </c>
      <c r="N34" s="251">
        <v>8662000</v>
      </c>
      <c r="O34" s="252">
        <v>6787090.9090909092</v>
      </c>
      <c r="P34" s="253">
        <v>10779000</v>
      </c>
      <c r="Q34" s="254">
        <v>8419181.8181818184</v>
      </c>
      <c r="R34" s="255">
        <v>1382181.8181818184</v>
      </c>
      <c r="S34" s="336"/>
      <c r="U34" s="338"/>
      <c r="V34" s="30" t="s">
        <v>257</v>
      </c>
      <c r="W34" s="249" t="s">
        <v>53</v>
      </c>
      <c r="X34" s="249">
        <v>7</v>
      </c>
      <c r="Y34" s="249"/>
      <c r="Z34" s="250">
        <v>769860000</v>
      </c>
      <c r="AA34" s="251">
        <v>8662000</v>
      </c>
      <c r="AB34" s="252">
        <v>6787090.9090909092</v>
      </c>
      <c r="AC34" s="253">
        <v>10779000</v>
      </c>
      <c r="AD34" s="254">
        <v>8419181.8181818184</v>
      </c>
      <c r="AE34" s="255">
        <v>1382181.8181818184</v>
      </c>
    </row>
  </sheetData>
  <mergeCells count="27">
    <mergeCell ref="Z24:Z25"/>
    <mergeCell ref="AB24:AB25"/>
    <mergeCell ref="AD24:AD25"/>
    <mergeCell ref="AE24:AE25"/>
    <mergeCell ref="X24:X25"/>
    <mergeCell ref="U24:U25"/>
    <mergeCell ref="V24:V25"/>
    <mergeCell ref="W24:W25"/>
    <mergeCell ref="S26:S34"/>
    <mergeCell ref="I28:I29"/>
    <mergeCell ref="U28:U29"/>
    <mergeCell ref="I30:I32"/>
    <mergeCell ref="U30:U32"/>
    <mergeCell ref="I33:I34"/>
    <mergeCell ref="U33:U34"/>
    <mergeCell ref="A3:A23"/>
    <mergeCell ref="H3:H23"/>
    <mergeCell ref="T3:T23"/>
    <mergeCell ref="I24:I25"/>
    <mergeCell ref="J24:J25"/>
    <mergeCell ref="K24:K25"/>
    <mergeCell ref="L24:L25"/>
    <mergeCell ref="M24:M25"/>
    <mergeCell ref="O24:O25"/>
    <mergeCell ref="Q24:Q25"/>
    <mergeCell ref="R24:R25"/>
    <mergeCell ref="S24:S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TH</vt:lpstr>
      <vt:lpstr>Báo cáo lợi nhuận</vt:lpstr>
      <vt:lpstr>DT-GV</vt:lpstr>
      <vt:lpstr>Dự thu chiết khấu</vt:lpstr>
      <vt:lpstr>Lương năng suất</vt:lpstr>
      <vt:lpstr>CSBH thưởng xe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</dc:creator>
  <cp:lastModifiedBy>Than Hieu</cp:lastModifiedBy>
  <dcterms:created xsi:type="dcterms:W3CDTF">2026-04-12T10:38:47Z</dcterms:created>
  <dcterms:modified xsi:type="dcterms:W3CDTF">2026-05-19T10:02:27Z</dcterms:modified>
</cp:coreProperties>
</file>